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Payouts" sheetId="3" state="visible" r:id="rId3"/>
    <sheet xmlns:r="http://schemas.openxmlformats.org/officeDocument/2006/relationships" name="Bills" sheetId="4" state="visible" r:id="rId4"/>
    <sheet xmlns:r="http://schemas.openxmlformats.org/officeDocument/2006/relationships" name="Other Cash" sheetId="5" state="visible" r:id="rId5"/>
    <sheet xmlns:r="http://schemas.openxmlformats.org/officeDocument/2006/relationships" name="Forecast" sheetId="6" state="visible" r:id="rId6"/>
  </sheets>
  <definedNames>
    <definedName name="_xlnm.Print_Area" localSheetId="0">'Start Here'!$A$1:$F$29</definedName>
    <definedName name="_xlnm.Print_Area" localSheetId="1">'Dashboard'!$A$1:$L$28</definedName>
    <definedName name="_xlnm._FilterDatabase" localSheetId="2" hidden="1">'Payouts'!$A$6:$N$106</definedName>
    <definedName name="_xlnm.Print_Area" localSheetId="2">'Payouts'!$A$1:$N$56</definedName>
    <definedName name="_xlnm._FilterDatabase" localSheetId="3" hidden="1">'Bills'!$A$6:$K$106</definedName>
    <definedName name="_xlnm.Print_Area" localSheetId="3">'Bills'!$A$1:$K$36</definedName>
    <definedName name="_xlnm._FilterDatabase" localSheetId="4" hidden="1">'Other Cash'!$A$6:$I$106</definedName>
    <definedName name="_xlnm.Print_Area" localSheetId="4">'Other Cash'!$A$1:$I$56</definedName>
    <definedName name="_xlnm._FilterDatabase" localSheetId="5" hidden="1">'Forecast'!$A$6:$N$51</definedName>
    <definedName name="_xlnm.Print_Area" localSheetId="5">'Forecast'!$A$1:$N$51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$#,##0;($#,##0);-"/>
    <numFmt numFmtId="167" formatCode="0.0 &quot;days&quot;"/>
  </numFmts>
  <fonts count="32">
    <font>
      <name val="Calibri"/>
      <family val="2"/>
      <color theme="1"/>
      <sz val="11"/>
      <scheme val="minor"/>
    </font>
    <font>
      <name val="Liberation Sans"/>
      <b val="1"/>
      <color rgb="00FFFFFF"/>
      <sz val="20"/>
    </font>
    <font>
      <name val="Liberation Sans"/>
      <i val="1"/>
      <color rgb="0064748B"/>
      <sz val="10"/>
    </font>
    <font>
      <name val="Liberation Sans"/>
      <b val="1"/>
      <color rgb="0014253D"/>
      <sz val="12"/>
    </font>
    <font>
      <b val="1"/>
      <color rgb="00FFFFFF"/>
    </font>
    <font>
      <name val="Liberation Sans"/>
      <color rgb="001F2937"/>
      <sz val="10"/>
    </font>
    <font>
      <name val="Liberation Sans"/>
      <b val="1"/>
      <color rgb="0014253D"/>
      <sz val="11"/>
    </font>
    <font>
      <name val="Liberation Sans"/>
      <b val="1"/>
      <color rgb="001F2937"/>
      <sz val="10"/>
    </font>
    <font>
      <name val="Liberation Sans"/>
      <color rgb="001565C0"/>
      <sz val="10"/>
    </font>
    <font>
      <name val="Liberation Sans"/>
      <color rgb="0064748B"/>
      <sz val="9"/>
    </font>
    <font>
      <b val="1"/>
      <color rgb="00D64545"/>
    </font>
    <font>
      <color rgb="001F2937"/>
    </font>
    <font>
      <b val="1"/>
      <color rgb="009A6700"/>
    </font>
    <font>
      <b val="1"/>
      <color rgb="00F59E0B"/>
    </font>
    <font>
      <b val="1"/>
      <color rgb="00218838"/>
    </font>
    <font>
      <i val="1"/>
      <color rgb="0064748B"/>
      <sz val="9"/>
    </font>
    <font>
      <name val="Liberation Sans"/>
      <b val="1"/>
      <color rgb="00FFFFFF"/>
      <sz val="9"/>
    </font>
    <font>
      <name val="Liberation Sans"/>
      <color rgb="00218838"/>
      <sz val="10"/>
    </font>
    <font>
      <b val="1"/>
      <color rgb="0014253D"/>
      <sz val="12"/>
    </font>
    <font>
      <b val="1"/>
      <color rgb="001F2937"/>
      <sz val="10"/>
    </font>
    <font>
      <b val="1"/>
      <color rgb="0014253D"/>
      <sz val="11"/>
    </font>
    <font>
      <b val="1"/>
      <color rgb="001F2937"/>
      <sz val="12"/>
    </font>
    <font>
      <b val="1"/>
      <color rgb="001F2937"/>
    </font>
    <font>
      <color rgb="001F2937"/>
      <sz val="9"/>
    </font>
    <font>
      <name val="Liberation Sans"/>
      <b val="1"/>
      <color rgb="00FFFFFF"/>
      <sz val="10"/>
    </font>
    <font>
      <name val="Liberation Sans"/>
      <b val="1"/>
      <color rgb="00D64545"/>
      <sz val="10"/>
    </font>
    <font>
      <name val="Liberation Sans"/>
      <b val="1"/>
      <color rgb="009A6700"/>
      <sz val="10"/>
    </font>
    <font>
      <name val="Liberation Sans"/>
      <b val="1"/>
      <color rgb="00F59E0B"/>
      <sz val="10"/>
    </font>
    <font>
      <name val="Liberation Sans"/>
      <b val="1"/>
      <color rgb="00218838"/>
      <sz val="10"/>
    </font>
    <font>
      <name val="Liberation Sans"/>
      <i val="1"/>
      <color rgb="0064748B"/>
      <sz val="9"/>
    </font>
    <font>
      <name val="Liberation Sans"/>
      <b val="1"/>
      <color rgb="001F2937"/>
      <sz val="12"/>
    </font>
    <font>
      <name val="Liberation Sans"/>
      <color rgb="001F2937"/>
      <sz val="9"/>
    </font>
  </fonts>
  <fills count="10">
    <fill>
      <patternFill/>
    </fill>
    <fill>
      <patternFill patternType="gray125"/>
    </fill>
    <fill>
      <patternFill patternType="solid">
        <fgColor rgb="0014253D"/>
      </patternFill>
    </fill>
    <fill>
      <patternFill patternType="solid">
        <fgColor rgb="0000A6A6"/>
      </patternFill>
    </fill>
    <fill>
      <patternFill patternType="solid">
        <fgColor rgb="00DDF6F5"/>
      </patternFill>
    </fill>
    <fill>
      <patternFill patternType="solid">
        <fgColor rgb="00FFF3BF"/>
      </patternFill>
    </fill>
    <fill>
      <patternFill patternType="solid">
        <fgColor rgb="00FDE8E8"/>
      </patternFill>
    </fill>
    <fill>
      <patternFill patternType="solid">
        <fgColor rgb="00FFF4DD"/>
      </patternFill>
    </fill>
    <fill>
      <patternFill patternType="solid">
        <fgColor rgb="00FFFBEA"/>
      </patternFill>
    </fill>
    <fill>
      <patternFill patternType="solid">
        <fgColor rgb="00E7F5EC"/>
      </patternFill>
    </fill>
  </fills>
  <borders count="3">
    <border>
      <left/>
      <right/>
      <top/>
      <bottom/>
      <diagonal/>
    </border>
    <border>
      <bottom style="medium">
        <color rgb="0000A6A6"/>
      </bottom>
    </border>
    <border>
      <bottom style="thin">
        <color rgb="00D9E2EC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3" fillId="0" borderId="0" pivotButton="0" quotePrefix="0" xfId="0"/>
    <xf numFmtId="0" fontId="24" fillId="3" borderId="0" applyAlignment="1" pivotButton="0" quotePrefix="0" xfId="0">
      <alignment horizontal="center"/>
    </xf>
    <xf numFmtId="0" fontId="5" fillId="0" borderId="0" pivotButton="0" quotePrefix="0" xfId="0"/>
    <xf numFmtId="0" fontId="6" fillId="4" borderId="0" pivotButton="0" quotePrefix="0" xfId="0"/>
    <xf numFmtId="0" fontId="7" fillId="0" borderId="0" pivotButton="0" quotePrefix="0" xfId="0"/>
    <xf numFmtId="0" fontId="8" fillId="5" borderId="0" pivotButton="0" quotePrefix="0" xfId="0"/>
    <xf numFmtId="0" fontId="9" fillId="0" borderId="0" pivotButton="0" quotePrefix="0" xfId="0"/>
    <xf numFmtId="165" fontId="8" fillId="5" borderId="0" pivotButton="0" quotePrefix="0" xfId="0"/>
    <xf numFmtId="166" fontId="8" fillId="5" borderId="0" pivotButton="0" quotePrefix="0" xfId="0"/>
    <xf numFmtId="0" fontId="25" fillId="6" borderId="0" pivotButton="0" quotePrefix="0" xfId="0"/>
    <xf numFmtId="0" fontId="26" fillId="7" borderId="0" pivotButton="0" quotePrefix="0" xfId="0"/>
    <xf numFmtId="0" fontId="27" fillId="8" borderId="0" pivotButton="0" quotePrefix="0" xfId="0"/>
    <xf numFmtId="0" fontId="28" fillId="9" borderId="0" pivotButton="0" quotePrefix="0" xfId="0"/>
    <xf numFmtId="0" fontId="29" fillId="0" borderId="0" applyAlignment="1" pivotButton="0" quotePrefix="0" xfId="0">
      <alignment vertical="top" wrapText="1"/>
    </xf>
    <xf numFmtId="0" fontId="3" fillId="4" borderId="0" pivotButton="0" quotePrefix="0" xfId="0"/>
    <xf numFmtId="0" fontId="7" fillId="0" borderId="2" pivotButton="0" quotePrefix="0" xfId="0"/>
    <xf numFmtId="166" fontId="17" fillId="0" borderId="2" pivotButton="0" quotePrefix="0" xfId="0"/>
    <xf numFmtId="165" fontId="17" fillId="0" borderId="2" pivotButton="0" quotePrefix="0" xfId="0"/>
    <xf numFmtId="1" fontId="17" fillId="0" borderId="2" pivotButton="0" quotePrefix="0" xfId="0"/>
    <xf numFmtId="167" fontId="17" fillId="0" borderId="2" pivotButton="0" quotePrefix="0" xfId="0"/>
    <xf numFmtId="0" fontId="30" fillId="0" borderId="0" applyAlignment="1" pivotButton="0" quotePrefix="0" xfId="0">
      <alignment horizontal="center"/>
    </xf>
    <xf numFmtId="0" fontId="31" fillId="0" borderId="0" applyAlignment="1" pivotButton="0" quotePrefix="0" xfId="0">
      <alignment wrapText="1"/>
    </xf>
    <xf numFmtId="0" fontId="29" fillId="0" borderId="0" applyAlignment="1" pivotButton="0" quotePrefix="0" xfId="0">
      <alignment wrapText="1"/>
    </xf>
    <xf numFmtId="0" fontId="16" fillId="2" borderId="1" applyAlignment="1" pivotButton="0" quotePrefix="0" xfId="0">
      <alignment horizontal="center" vertical="center" wrapText="1"/>
    </xf>
    <xf numFmtId="0" fontId="8" fillId="5" borderId="2" applyAlignment="1" pivotButton="0" quotePrefix="0" xfId="0">
      <alignment vertical="center"/>
    </xf>
    <xf numFmtId="0" fontId="8" fillId="5" borderId="2" applyAlignment="1" pivotButton="0" quotePrefix="0" xfId="0">
      <alignment vertical="center" wrapText="1"/>
    </xf>
    <xf numFmtId="166" fontId="8" fillId="5" borderId="2" applyAlignment="1" pivotButton="0" quotePrefix="0" xfId="0">
      <alignment vertical="center"/>
    </xf>
    <xf numFmtId="166" fontId="5" fillId="0" borderId="2" applyAlignment="1" pivotButton="0" quotePrefix="0" xfId="0">
      <alignment vertical="center"/>
    </xf>
    <xf numFmtId="165" fontId="8" fillId="5" borderId="2" applyAlignment="1" pivotButton="0" quotePrefix="0" xfId="0">
      <alignment vertical="center"/>
    </xf>
    <xf numFmtId="165" fontId="5" fillId="0" borderId="2" applyAlignment="1" pivotButton="0" quotePrefix="0" xfId="0">
      <alignment vertical="center"/>
    </xf>
    <xf numFmtId="9" fontId="8" fillId="5" borderId="2" applyAlignment="1" pivotButton="0" quotePrefix="0" xfId="0">
      <alignment vertical="center"/>
    </xf>
    <xf numFmtId="1" fontId="5" fillId="0" borderId="2" applyAlignment="1" pivotButton="0" quotePrefix="0" xfId="0">
      <alignment vertical="center"/>
    </xf>
    <xf numFmtId="166" fontId="5" fillId="0" borderId="2" pivotButton="0" quotePrefix="0" xfId="0"/>
    <xf numFmtId="0" fontId="5" fillId="0" borderId="2" applyAlignment="1" pivotButton="0" quotePrefix="0" xfId="0">
      <alignment horizontal="center"/>
    </xf>
    <xf numFmtId="0" fontId="5" fillId="0" borderId="2" pivotButton="0" quotePrefix="0" xfId="0"/>
  </cellXfs>
  <cellStyles count="1">
    <cellStyle name="Normal" xfId="0" builtinId="0" hidden="0"/>
  </cellStyles>
  <dxfs count="5">
    <dxf>
      <font>
        <b val="1"/>
        <color rgb="00D64545"/>
      </font>
      <fill>
        <patternFill patternType="solid">
          <fgColor rgb="00FDE8E8"/>
        </patternFill>
      </fill>
    </dxf>
    <dxf>
      <font>
        <b val="1"/>
        <color rgb="009A6700"/>
      </font>
      <fill>
        <patternFill patternType="solid">
          <fgColor rgb="00FFF4DD"/>
        </patternFill>
      </fill>
    </dxf>
    <dxf>
      <font>
        <b val="1"/>
        <color rgb="00F59E0B"/>
      </font>
      <fill>
        <patternFill patternType="solid">
          <fgColor rgb="00FFFBEA"/>
        </patternFill>
      </fill>
    </dxf>
    <dxf>
      <font>
        <b val="1"/>
        <color rgb="00218838"/>
      </font>
      <fill>
        <patternFill patternType="solid">
          <fgColor rgb="00E7F5EC"/>
        </patternFill>
      </fill>
    </dxf>
    <dxf>
      <font>
        <color rgb="00D64545"/>
      </font>
      <fill>
        <patternFill patternType="solid">
          <f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Projected cash vs. safety buffer</a:t>
            </a:r>
          </a:p>
        </rich>
      </tx>
    </title>
    <plotArea>
      <lineChart>
        <grouping val="standard"/>
        <ser>
          <idx val="0"/>
          <order val="0"/>
          <tx>
            <strRef>
              <f>'Forecast'!H6</f>
              <ns0:strCache xmlns:ns0="http://schemas.openxmlformats.org/drawingml/2006/chart">
                <ns0:ptCount val="1"/>
                <ns0:pt idx="0">
                  <ns0:v>Closing cash ($)</ns0:v>
                </ns0:pt>
              </ns0:strCache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'Forecast'!$A$7:$A$51</f>
              <ns0:strCache xmlns:ns0="http://schemas.openxmlformats.org/drawingml/2006/chart">
                <ns0:ptCount val="45"/>
                <ns0:pt idx="0">
                  <ns0:v>Oct 17, 2026</ns0:v>
                </ns0:pt>
                <ns0:pt idx="1">
                  <ns0:v>Oct 18, 2026</ns0:v>
                </ns0:pt>
                <ns0:pt idx="2">
                  <ns0:v>Oct 19, 2026</ns0:v>
                </ns0:pt>
                <ns0:pt idx="3">
                  <ns0:v>Oct 20, 2026</ns0:v>
                </ns0:pt>
                <ns0:pt idx="4">
                  <ns0:v>Oct 21, 2026</ns0:v>
                </ns0:pt>
                <ns0:pt idx="5">
                  <ns0:v>Oct 22, 2026</ns0:v>
                </ns0:pt>
                <ns0:pt idx="6">
                  <ns0:v>Oct 23, 2026</ns0:v>
                </ns0:pt>
                <ns0:pt idx="7">
                  <ns0:v>Oct 24, 2026</ns0:v>
                </ns0:pt>
                <ns0:pt idx="8">
                  <ns0:v>Oct 25, 2026</ns0:v>
                </ns0:pt>
                <ns0:pt idx="9">
                  <ns0:v>Oct 26, 2026</ns0:v>
                </ns0:pt>
                <ns0:pt idx="10">
                  <ns0:v>Oct 27, 2026</ns0:v>
                </ns0:pt>
                <ns0:pt idx="11">
                  <ns0:v>Oct 28, 2026</ns0:v>
                </ns0:pt>
                <ns0:pt idx="12">
                  <ns0:v>Oct 29, 2026</ns0:v>
                </ns0:pt>
                <ns0:pt idx="13">
                  <ns0:v>Oct 30, 2026</ns0:v>
                </ns0:pt>
                <ns0:pt idx="14">
                  <ns0:v>Oct 31, 2026</ns0:v>
                </ns0:pt>
                <ns0:pt idx="15">
                  <ns0:v>Nov 1, 2026</ns0:v>
                </ns0:pt>
                <ns0:pt idx="16">
                  <ns0:v>Nov 2, 2026</ns0:v>
                </ns0:pt>
                <ns0:pt idx="17">
                  <ns0:v>Nov 3, 2026</ns0:v>
                </ns0:pt>
                <ns0:pt idx="18">
                  <ns0:v>Nov 4, 2026</ns0:v>
                </ns0:pt>
                <ns0:pt idx="19">
                  <ns0:v>Nov 5, 2026</ns0:v>
                </ns0:pt>
                <ns0:pt idx="20">
                  <ns0:v>Nov 6, 2026</ns0:v>
                </ns0:pt>
                <ns0:pt idx="21">
                  <ns0:v>Nov 7, 2026</ns0:v>
                </ns0:pt>
                <ns0:pt idx="22">
                  <ns0:v>Nov 8, 2026</ns0:v>
                </ns0:pt>
                <ns0:pt idx="23">
                  <ns0:v>Nov 9, 2026</ns0:v>
                </ns0:pt>
                <ns0:pt idx="24">
                  <ns0:v>Nov 10, 2026</ns0:v>
                </ns0:pt>
                <ns0:pt idx="25">
                  <ns0:v>Nov 11, 2026</ns0:v>
                </ns0:pt>
                <ns0:pt idx="26">
                  <ns0:v>Nov 12, 2026</ns0:v>
                </ns0:pt>
                <ns0:pt idx="27">
                  <ns0:v>Nov 13, 2026</ns0:v>
                </ns0:pt>
                <ns0:pt idx="28">
                  <ns0:v>Nov 14, 2026</ns0:v>
                </ns0:pt>
                <ns0:pt idx="29">
                  <ns0:v>Nov 15, 2026</ns0:v>
                </ns0:pt>
                <ns0:pt idx="30">
                  <ns0:v>Nov 16, 2026</ns0:v>
                </ns0:pt>
                <ns0:pt idx="31">
                  <ns0:v>Nov 17, 2026</ns0:v>
                </ns0:pt>
                <ns0:pt idx="32">
                  <ns0:v>Nov 18, 2026</ns0:v>
                </ns0:pt>
                <ns0:pt idx="33">
                  <ns0:v>Nov 19, 2026</ns0:v>
                </ns0:pt>
                <ns0:pt idx="34">
                  <ns0:v>Nov 20, 2026</ns0:v>
                </ns0:pt>
                <ns0:pt idx="35">
                  <ns0:v>Nov 21, 2026</ns0:v>
                </ns0:pt>
                <ns0:pt idx="36">
                  <ns0:v>Nov 22, 2026</ns0:v>
                </ns0:pt>
                <ns0:pt idx="37">
                  <ns0:v>Nov 23, 2026</ns0:v>
                </ns0:pt>
                <ns0:pt idx="38">
                  <ns0:v>Nov 24, 2026</ns0:v>
                </ns0:pt>
                <ns0:pt idx="39">
                  <ns0:v>Nov 25, 2026</ns0:v>
                </ns0:pt>
                <ns0:pt idx="40">
                  <ns0:v>Nov 26, 2026</ns0:v>
                </ns0:pt>
                <ns0:pt idx="41">
                  <ns0:v>Nov 27, 2026</ns0:v>
                </ns0:pt>
                <ns0:pt idx="42">
                  <ns0:v>Nov 28, 2026</ns0:v>
                </ns0:pt>
                <ns0:pt idx="43">
                  <ns0:v>Nov 29, 2026</ns0:v>
                </ns0:pt>
                <ns0:pt idx="44">
                  <ns0:v>Nov 30, 2026</ns0:v>
                </ns0:pt>
              </ns0:strCache>
            </strRef>
          </cat>
          <val>
            <numRef>
              <f>'Forecast'!$H$7:$H$51</f>
              <ns0:numCache xmlns:ns0="http://schemas.openxmlformats.org/drawingml/2006/chart">
                <ns0:formatCode>\$#,##0;"($"#,##0\);\-</ns0:formatCode>
                <ns0:ptCount val="45"/>
                <ns0:pt idx="0">
                  <ns0:v>18000</ns0:v>
                </ns0:pt>
                <ns0:pt idx="1">
                  <ns0:v>18000</ns0:v>
                </ns0:pt>
                <ns0:pt idx="2">
                  <ns0:v>8000</ns0:v>
                </ns0:pt>
                <ns0:pt idx="3">
                  <ns0:v>16245</ns0:v>
                </ns0:pt>
                <ns0:pt idx="4">
                  <ns0:v>17445</ns0:v>
                </ns0:pt>
                <ns0:pt idx="5">
                  <ns0:v>17445</ns0:v>
                </ns0:pt>
                <ns0:pt idx="6">
                  <ns0:v>17445</ns0:v>
                </ns0:pt>
                <ns0:pt idx="7">
                  <ns0:v>17445</ns0:v>
                </ns0:pt>
                <ns0:pt idx="8">
                  <ns0:v>17445</ns0:v>
                </ns0:pt>
                <ns0:pt idx="9">
                  <ns0:v>17445</ns0:v>
                </ns0:pt>
                <ns0:pt idx="10">
                  <ns0:v>17445</ns0:v>
                </ns0:pt>
                <ns0:pt idx="11">
                  <ns0:v>17445</ns0:v>
                </ns0:pt>
                <ns0:pt idx="12">
                  <ns0:v>17445</ns0:v>
                </ns0:pt>
                <ns0:pt idx="13">
                  <ns0:v>17445</ns0:v>
                </ns0:pt>
                <ns0:pt idx="14">
                  <ns0:v>17445</ns0:v>
                </ns0:pt>
                <ns0:pt idx="15">
                  <ns0:v>17445</ns0:v>
                </ns0:pt>
                <ns0:pt idx="16">
                  <ns0:v>17445</ns0:v>
                </ns0:pt>
                <ns0:pt idx="17">
                  <ns0:v>17445</ns0:v>
                </ns0:pt>
                <ns0:pt idx="18">
                  <ns0:v>17445</ns0:v>
                </ns0:pt>
                <ns0:pt idx="19">
                  <ns0:v>17445</ns0:v>
                </ns0:pt>
                <ns0:pt idx="20">
                  <ns0:v>17445</ns0:v>
                </ns0:pt>
                <ns0:pt idx="21">
                  <ns0:v>17445</ns0:v>
                </ns0:pt>
                <ns0:pt idx="22">
                  <ns0:v>17445</ns0:v>
                </ns0:pt>
                <ns0:pt idx="23">
                  <ns0:v>17445</ns0:v>
                </ns0:pt>
                <ns0:pt idx="24">
                  <ns0:v>17445</ns0:v>
                </ns0:pt>
                <ns0:pt idx="25">
                  <ns0:v>17445</ns0:v>
                </ns0:pt>
                <ns0:pt idx="26">
                  <ns0:v>17445</ns0:v>
                </ns0:pt>
                <ns0:pt idx="27">
                  <ns0:v>17445</ns0:v>
                </ns0:pt>
                <ns0:pt idx="28">
                  <ns0:v>17445</ns0:v>
                </ns0:pt>
                <ns0:pt idx="29">
                  <ns0:v>17445</ns0:v>
                </ns0:pt>
                <ns0:pt idx="30">
                  <ns0:v>17445</ns0:v>
                </ns0:pt>
                <ns0:pt idx="31">
                  <ns0:v>17445</ns0:v>
                </ns0:pt>
                <ns0:pt idx="32">
                  <ns0:v>17445</ns0:v>
                </ns0:pt>
                <ns0:pt idx="33">
                  <ns0:v>17445</ns0:v>
                </ns0:pt>
                <ns0:pt idx="34">
                  <ns0:v>17445</ns0:v>
                </ns0:pt>
                <ns0:pt idx="35">
                  <ns0:v>17445</ns0:v>
                </ns0:pt>
                <ns0:pt idx="36">
                  <ns0:v>17445</ns0:v>
                </ns0:pt>
                <ns0:pt idx="37">
                  <ns0:v>17445</ns0:v>
                </ns0:pt>
                <ns0:pt idx="38">
                  <ns0:v>17445</ns0:v>
                </ns0:pt>
                <ns0:pt idx="39">
                  <ns0:v>17445</ns0:v>
                </ns0:pt>
                <ns0:pt idx="40">
                  <ns0:v>17445</ns0:v>
                </ns0:pt>
                <ns0:pt idx="41">
                  <ns0:v>17445</ns0:v>
                </ns0:pt>
                <ns0:pt idx="42">
                  <ns0:v>17445</ns0:v>
                </ns0:pt>
                <ns0:pt idx="43">
                  <ns0:v>17445</ns0:v>
                </ns0:pt>
                <ns0:pt idx="44">
                  <ns0:v>17445</ns0:v>
                </ns0:pt>
              </ns0:numCache>
            </numRef>
          </val>
        </ser>
        <ser>
          <idx val="1"/>
          <order val="1"/>
          <tx>
            <strRef>
              <f>'Forecast'!I6</f>
              <ns0:strCache xmlns:ns0="http://schemas.openxmlformats.org/drawingml/2006/chart">
                <ns0:ptCount val="1"/>
                <ns0:pt idx="0">
                  <ns0:v>Safety buffer ($)</ns0:v>
                </ns0:pt>
              </ns0:strCache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'Forecast'!$A$7:$A$51</f>
              <ns0:strCache xmlns:ns0="http://schemas.openxmlformats.org/drawingml/2006/chart">
                <ns0:ptCount val="45"/>
                <ns0:pt idx="0">
                  <ns0:v>Oct 17, 2026</ns0:v>
                </ns0:pt>
                <ns0:pt idx="1">
                  <ns0:v>Oct 18, 2026</ns0:v>
                </ns0:pt>
                <ns0:pt idx="2">
                  <ns0:v>Oct 19, 2026</ns0:v>
                </ns0:pt>
                <ns0:pt idx="3">
                  <ns0:v>Oct 20, 2026</ns0:v>
                </ns0:pt>
                <ns0:pt idx="4">
                  <ns0:v>Oct 21, 2026</ns0:v>
                </ns0:pt>
                <ns0:pt idx="5">
                  <ns0:v>Oct 22, 2026</ns0:v>
                </ns0:pt>
                <ns0:pt idx="6">
                  <ns0:v>Oct 23, 2026</ns0:v>
                </ns0:pt>
                <ns0:pt idx="7">
                  <ns0:v>Oct 24, 2026</ns0:v>
                </ns0:pt>
                <ns0:pt idx="8">
                  <ns0:v>Oct 25, 2026</ns0:v>
                </ns0:pt>
                <ns0:pt idx="9">
                  <ns0:v>Oct 26, 2026</ns0:v>
                </ns0:pt>
                <ns0:pt idx="10">
                  <ns0:v>Oct 27, 2026</ns0:v>
                </ns0:pt>
                <ns0:pt idx="11">
                  <ns0:v>Oct 28, 2026</ns0:v>
                </ns0:pt>
                <ns0:pt idx="12">
                  <ns0:v>Oct 29, 2026</ns0:v>
                </ns0:pt>
                <ns0:pt idx="13">
                  <ns0:v>Oct 30, 2026</ns0:v>
                </ns0:pt>
                <ns0:pt idx="14">
                  <ns0:v>Oct 31, 2026</ns0:v>
                </ns0:pt>
                <ns0:pt idx="15">
                  <ns0:v>Nov 1, 2026</ns0:v>
                </ns0:pt>
                <ns0:pt idx="16">
                  <ns0:v>Nov 2, 2026</ns0:v>
                </ns0:pt>
                <ns0:pt idx="17">
                  <ns0:v>Nov 3, 2026</ns0:v>
                </ns0:pt>
                <ns0:pt idx="18">
                  <ns0:v>Nov 4, 2026</ns0:v>
                </ns0:pt>
                <ns0:pt idx="19">
                  <ns0:v>Nov 5, 2026</ns0:v>
                </ns0:pt>
                <ns0:pt idx="20">
                  <ns0:v>Nov 6, 2026</ns0:v>
                </ns0:pt>
                <ns0:pt idx="21">
                  <ns0:v>Nov 7, 2026</ns0:v>
                </ns0:pt>
                <ns0:pt idx="22">
                  <ns0:v>Nov 8, 2026</ns0:v>
                </ns0:pt>
                <ns0:pt idx="23">
                  <ns0:v>Nov 9, 2026</ns0:v>
                </ns0:pt>
                <ns0:pt idx="24">
                  <ns0:v>Nov 10, 2026</ns0:v>
                </ns0:pt>
                <ns0:pt idx="25">
                  <ns0:v>Nov 11, 2026</ns0:v>
                </ns0:pt>
                <ns0:pt idx="26">
                  <ns0:v>Nov 12, 2026</ns0:v>
                </ns0:pt>
                <ns0:pt idx="27">
                  <ns0:v>Nov 13, 2026</ns0:v>
                </ns0:pt>
                <ns0:pt idx="28">
                  <ns0:v>Nov 14, 2026</ns0:v>
                </ns0:pt>
                <ns0:pt idx="29">
                  <ns0:v>Nov 15, 2026</ns0:v>
                </ns0:pt>
                <ns0:pt idx="30">
                  <ns0:v>Nov 16, 2026</ns0:v>
                </ns0:pt>
                <ns0:pt idx="31">
                  <ns0:v>Nov 17, 2026</ns0:v>
                </ns0:pt>
                <ns0:pt idx="32">
                  <ns0:v>Nov 18, 2026</ns0:v>
                </ns0:pt>
                <ns0:pt idx="33">
                  <ns0:v>Nov 19, 2026</ns0:v>
                </ns0:pt>
                <ns0:pt idx="34">
                  <ns0:v>Nov 20, 2026</ns0:v>
                </ns0:pt>
                <ns0:pt idx="35">
                  <ns0:v>Nov 21, 2026</ns0:v>
                </ns0:pt>
                <ns0:pt idx="36">
                  <ns0:v>Nov 22, 2026</ns0:v>
                </ns0:pt>
                <ns0:pt idx="37">
                  <ns0:v>Nov 23, 2026</ns0:v>
                </ns0:pt>
                <ns0:pt idx="38">
                  <ns0:v>Nov 24, 2026</ns0:v>
                </ns0:pt>
                <ns0:pt idx="39">
                  <ns0:v>Nov 25, 2026</ns0:v>
                </ns0:pt>
                <ns0:pt idx="40">
                  <ns0:v>Nov 26, 2026</ns0:v>
                </ns0:pt>
                <ns0:pt idx="41">
                  <ns0:v>Nov 27, 2026</ns0:v>
                </ns0:pt>
                <ns0:pt idx="42">
                  <ns0:v>Nov 28, 2026</ns0:v>
                </ns0:pt>
                <ns0:pt idx="43">
                  <ns0:v>Nov 29, 2026</ns0:v>
                </ns0:pt>
                <ns0:pt idx="44">
                  <ns0:v>Nov 30, 2026</ns0:v>
                </ns0:pt>
              </ns0:strCache>
            </strRef>
          </cat>
          <val>
            <numRef>
              <f>'Forecast'!$I$7:$I$51</f>
              <ns0:numCache xmlns:ns0="http://schemas.openxmlformats.org/drawingml/2006/chart">
                <ns0:formatCode>\$#,##0;"($"#,##0\);\-</ns0:formatCode>
                <ns0:ptCount val="45"/>
                <ns0:pt idx="0">
                  <ns0:v>12000</ns0:v>
                </ns0:pt>
                <ns0:pt idx="1">
                  <ns0:v>12000</ns0:v>
                </ns0:pt>
                <ns0:pt idx="2">
                  <ns0:v>12000</ns0:v>
                </ns0:pt>
                <ns0:pt idx="3">
                  <ns0:v>12000</ns0:v>
                </ns0:pt>
                <ns0:pt idx="4">
                  <ns0:v>12000</ns0:v>
                </ns0:pt>
                <ns0:pt idx="5">
                  <ns0:v>12000</ns0:v>
                </ns0:pt>
                <ns0:pt idx="6">
                  <ns0:v>12000</ns0:v>
                </ns0:pt>
                <ns0:pt idx="7">
                  <ns0:v>12000</ns0:v>
                </ns0:pt>
                <ns0:pt idx="8">
                  <ns0:v>12000</ns0:v>
                </ns0:pt>
                <ns0:pt idx="9">
                  <ns0:v>12000</ns0:v>
                </ns0:pt>
                <ns0:pt idx="10">
                  <ns0:v>12000</ns0:v>
                </ns0:pt>
                <ns0:pt idx="11">
                  <ns0:v>12000</ns0:v>
                </ns0:pt>
                <ns0:pt idx="12">
                  <ns0:v>12000</ns0:v>
                </ns0:pt>
                <ns0:pt idx="13">
                  <ns0:v>12000</ns0:v>
                </ns0:pt>
                <ns0:pt idx="14">
                  <ns0:v>12000</ns0:v>
                </ns0:pt>
                <ns0:pt idx="15">
                  <ns0:v>12000</ns0:v>
                </ns0:pt>
                <ns0:pt idx="16">
                  <ns0:v>12000</ns0:v>
                </ns0:pt>
                <ns0:pt idx="17">
                  <ns0:v>12000</ns0:v>
                </ns0:pt>
                <ns0:pt idx="18">
                  <ns0:v>12000</ns0:v>
                </ns0:pt>
                <ns0:pt idx="19">
                  <ns0:v>12000</ns0:v>
                </ns0:pt>
                <ns0:pt idx="20">
                  <ns0:v>12000</ns0:v>
                </ns0:pt>
                <ns0:pt idx="21">
                  <ns0:v>12000</ns0:v>
                </ns0:pt>
                <ns0:pt idx="22">
                  <ns0:v>12000</ns0:v>
                </ns0:pt>
                <ns0:pt idx="23">
                  <ns0:v>12000</ns0:v>
                </ns0:pt>
                <ns0:pt idx="24">
                  <ns0:v>12000</ns0:v>
                </ns0:pt>
                <ns0:pt idx="25">
                  <ns0:v>12000</ns0:v>
                </ns0:pt>
                <ns0:pt idx="26">
                  <ns0:v>12000</ns0:v>
                </ns0:pt>
                <ns0:pt idx="27">
                  <ns0:v>12000</ns0:v>
                </ns0:pt>
                <ns0:pt idx="28">
                  <ns0:v>12000</ns0:v>
                </ns0:pt>
                <ns0:pt idx="29">
                  <ns0:v>12000</ns0:v>
                </ns0:pt>
                <ns0:pt idx="30">
                  <ns0:v>12000</ns0:v>
                </ns0:pt>
                <ns0:pt idx="31">
                  <ns0:v>12000</ns0:v>
                </ns0:pt>
                <ns0:pt idx="32">
                  <ns0:v>12000</ns0:v>
                </ns0:pt>
                <ns0:pt idx="33">
                  <ns0:v>12000</ns0:v>
                </ns0:pt>
                <ns0:pt idx="34">
                  <ns0:v>12000</ns0:v>
                </ns0:pt>
                <ns0:pt idx="35">
                  <ns0:v>12000</ns0:v>
                </ns0:pt>
                <ns0:pt idx="36">
                  <ns0:v>12000</ns0:v>
                </ns0:pt>
                <ns0:pt idx="37">
                  <ns0:v>12000</ns0:v>
                </ns0:pt>
                <ns0:pt idx="38">
                  <ns0:v>12000</ns0:v>
                </ns0:pt>
                <ns0:pt idx="39">
                  <ns0:v>12000</ns0:v>
                </ns0:pt>
                <ns0:pt idx="40">
                  <ns0:v>12000</ns0:v>
                </ns0:pt>
                <ns0:pt idx="41">
                  <ns0:v>12000</ns0:v>
                </ns0:pt>
                <ns0:pt idx="42">
                  <ns0:v>12000</ns0:v>
                </ns0:pt>
                <ns0:pt idx="43">
                  <ns0:v>12000</ns0:v>
                </ns0:pt>
                <ns0:pt idx="44">
                  <ns0:v>12000</ns0:v>
                </ns0:pt>
              </ns0:numCache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Cash ($)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Workbook</author>
  </authors>
  <commentList>
    <comment ref="C12" authorId="0" shapeId="0">
      <text>
        <t>Illustrative starter value. Replace with your own data.</t>
      </text>
    </comment>
    <comment ref="C13" authorId="0" shapeId="0">
      <text>
        <t>Illustrative starter value. Replace with your own data.</t>
      </text>
    </comment>
    <comment ref="C14" authorId="0" shapeId="0">
      <text>
        <t>Illustrative starter value. Replace with your own data.</t>
      </text>
    </comment>
    <comment ref="C15" authorId="0" shapeId="0">
      <text>
        <t>Illustrative starter value. Replace with your own data.</t>
      </text>
    </comment>
    <comment ref="C16" authorId="0" shapeId="0">
      <text>
        <t>Illustrative starter value. Replace with your own data.</t>
      </text>
    </comment>
    <comment ref="C17" authorId="0" shapeId="0">
      <text>
        <t>Illustrative starter value. Replace with your own data.</t>
      </text>
    </comment>
    <comment ref="C18" authorId="0" shapeId="0">
      <text>
        <t>Illustrative starter value. Replace with your own data.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3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showGridLines="0" workbookViewId="0">
      <selection pane="bottomLeft" activeCell="A1" sqref="A1"/>
    </sheetView>
  </sheetViews>
  <sheetFormatPr baseColWidth="8" defaultRowHeight="15"/>
  <cols>
    <col width="4" customWidth="1" min="1" max="1"/>
    <col width="30" customWidth="1" min="2" max="2"/>
    <col width="20" customWidth="1" min="3" max="3"/>
    <col width="20" customWidth="1" min="4" max="4"/>
    <col width="20" customWidth="1" min="5" max="5"/>
    <col width="18" customWidth="1" min="6" max="6"/>
  </cols>
  <sheetData>
    <row r="1" ht="34" customHeight="1">
      <c r="A1" s="1" t="inlineStr">
        <is>
          <t>Payout Delay Cash-Flow Early Warning Sheet</t>
        </is>
      </c>
    </row>
    <row r="2" ht="30" customHeight="1">
      <c r="A2" s="2" t="inlineStr">
        <is>
          <t>A 45-day planning tool for spotting a cash gap before a delayed payout collides with payroll, inventory, or other bills.</t>
        </is>
      </c>
    </row>
    <row r="3"/>
    <row r="4">
      <c r="B4" s="3" t="inlineStr">
        <is>
          <t>QUICK START</t>
        </is>
      </c>
    </row>
    <row r="5">
      <c r="B5" s="4" t="inlineStr">
        <is>
          <t>1</t>
        </is>
      </c>
      <c r="C5" s="5" t="inlineStr">
        <is>
          <t>Replace the yellow sample settings below.</t>
        </is>
      </c>
    </row>
    <row r="6">
      <c r="B6" s="4" t="inlineStr">
        <is>
          <t>2</t>
        </is>
      </c>
      <c r="C6" s="5" t="inlineStr">
        <is>
          <t>Enter every expected payout in Payouts; revise dates and confidence as facts change.</t>
        </is>
      </c>
    </row>
    <row r="7">
      <c r="B7" s="4" t="inlineStr">
        <is>
          <t>3</t>
        </is>
      </c>
      <c r="C7" s="5" t="inlineStr">
        <is>
          <t>Enter unpaid obligations in Bills and non-Shopify movements in Other Cash.</t>
        </is>
      </c>
    </row>
    <row r="8">
      <c r="B8" s="4" t="inlineStr">
        <is>
          <t>4</t>
        </is>
      </c>
      <c r="C8" s="5" t="inlineStr">
        <is>
          <t>Read Dashboard first. A warning means the forecast closes below your chosen buffer.</t>
        </is>
      </c>
    </row>
    <row r="9"/>
    <row r="10">
      <c r="B10" s="6" t="inlineStr">
        <is>
          <t>ILLUSTRATIVE SETTINGS — REPLACE WITH YOUR DATA</t>
        </is>
      </c>
    </row>
    <row r="11"/>
    <row r="12">
      <c r="B12" s="7" t="inlineStr">
        <is>
          <t>Business label</t>
        </is>
      </c>
      <c r="C12" s="8" t="inlineStr">
        <is>
          <t>Example Shopify Store</t>
        </is>
      </c>
      <c r="D12" s="9" t="inlineStr">
        <is>
          <t>Optional; no personal information needed.</t>
        </is>
      </c>
    </row>
    <row r="13">
      <c r="B13" s="7" t="inlineStr">
        <is>
          <t>Forecast start date</t>
        </is>
      </c>
      <c r="C13" s="10" t="n">
        <v>46312</v>
      </c>
      <c r="D13" s="9" t="inlineStr">
        <is>
          <t>Change to the date you begin planning.</t>
        </is>
      </c>
    </row>
    <row r="14">
      <c r="B14" s="7" t="inlineStr">
        <is>
          <t>Available cash at start</t>
        </is>
      </c>
      <c r="C14" s="11" t="n">
        <v>18000</v>
      </c>
      <c r="D14" s="9" t="inlineStr">
        <is>
          <t>Cash available to pay operating obligations.</t>
        </is>
      </c>
    </row>
    <row r="15">
      <c r="B15" s="7" t="inlineStr">
        <is>
          <t>Minimum safety buffer</t>
        </is>
      </c>
      <c r="C15" s="11" t="n">
        <v>12000</v>
      </c>
      <c r="D15" s="9" t="inlineStr">
        <is>
          <t>The balance you do not want to fall below.</t>
        </is>
      </c>
    </row>
    <row r="16">
      <c r="B16" s="7" t="inlineStr">
        <is>
          <t>Forecast horizon (days)</t>
        </is>
      </c>
      <c r="C16" s="8" t="n">
        <v>45</v>
      </c>
      <c r="D16" s="9" t="inlineStr">
        <is>
          <t>This workbook is built for 45 days; keep at 45.</t>
        </is>
      </c>
    </row>
    <row r="17">
      <c r="B17" s="7" t="inlineStr">
        <is>
          <t>Payment method</t>
        </is>
      </c>
      <c r="C17" s="8" t="inlineStr">
        <is>
          <t>Shopify Payments</t>
        </is>
      </c>
      <c r="D17" s="9" t="inlineStr">
        <is>
          <t>Choose Shopify Payments / External processor / Unknown.</t>
        </is>
      </c>
    </row>
    <row r="18">
      <c r="B18" s="7" t="inlineStr">
        <is>
          <t>Monthly revenue band</t>
        </is>
      </c>
      <c r="C18" s="8" t="inlineStr">
        <is>
          <t>Select band</t>
        </is>
      </c>
      <c r="D18" s="9" t="inlineStr">
        <is>
          <t>Optional audience segmentation field.</t>
        </is>
      </c>
    </row>
    <row r="19"/>
    <row r="20"/>
    <row r="21">
      <c r="B21" s="6" t="inlineStr">
        <is>
          <t>HOW THE WARNING WORKS</t>
        </is>
      </c>
    </row>
    <row r="22">
      <c r="B22" s="12" t="inlineStr">
        <is>
          <t>CRITICAL</t>
        </is>
      </c>
      <c r="C22" s="5" t="inlineStr">
        <is>
          <t>Projected closing cash is below $0.</t>
        </is>
      </c>
    </row>
    <row r="23">
      <c r="B23" s="13" t="inlineStr">
        <is>
          <t>WARNING</t>
        </is>
      </c>
      <c r="C23" s="5" t="inlineStr">
        <is>
          <t>Projected closing cash is below your safety buffer.</t>
        </is>
      </c>
    </row>
    <row r="24">
      <c r="B24" s="14" t="inlineStr">
        <is>
          <t>WATCH</t>
        </is>
      </c>
      <c r="C24" s="5" t="inlineStr">
        <is>
          <t>Projected closing cash is within 20% above your safety buffer.</t>
        </is>
      </c>
    </row>
    <row r="25">
      <c r="B25" s="15" t="inlineStr">
        <is>
          <t>OK</t>
        </is>
      </c>
      <c r="C25" s="5" t="inlineStr">
        <is>
          <t>Projected closing cash is at least 20% above your safety buffer.</t>
        </is>
      </c>
    </row>
    <row r="26"/>
    <row r="27"/>
    <row r="28">
      <c r="B28" s="16" t="inlineStr">
        <is>
          <t>Planning note: payout confidence is a user-entered estimate, not a guarantee. Use the revised deposit date when you receive new information; keep evidence such as payout notices separately. This tool does not replace accounting, tax, or legal advice.</t>
        </is>
      </c>
    </row>
    <row r="29"/>
  </sheetData>
  <mergeCells count="20">
    <mergeCell ref="D13:F13"/>
    <mergeCell ref="C23:F23"/>
    <mergeCell ref="C8:F8"/>
    <mergeCell ref="B28:F29"/>
    <mergeCell ref="C7:F7"/>
    <mergeCell ref="D17:F17"/>
    <mergeCell ref="D16:F16"/>
    <mergeCell ref="B21:F21"/>
    <mergeCell ref="A2:F2"/>
    <mergeCell ref="C6:F6"/>
    <mergeCell ref="D12:F12"/>
    <mergeCell ref="D18:F18"/>
    <mergeCell ref="C24:F24"/>
    <mergeCell ref="C5:F5"/>
    <mergeCell ref="D15:F15"/>
    <mergeCell ref="D14:F14"/>
    <mergeCell ref="B10:F10"/>
    <mergeCell ref="C25:F25"/>
    <mergeCell ref="C22:F22"/>
    <mergeCell ref="A1:F1"/>
  </mergeCells>
  <dataValidations count="2">
    <dataValidation sqref="C17" showDropDown="0" showInputMessage="0" showErrorMessage="0" allowBlank="0" type="list">
      <formula1>"Shopify Payments,External processor,Unknown"</formula1>
    </dataValidation>
    <dataValidation sqref="C18" showDropDown="0" showInputMessage="0" showErrorMessage="0" allowBlank="0" type="list">
      <formula1>"Under $50k,$50k–$100k,$100k–$250k,$250k–$500k,$500k–$1M,Over $1M,Prefer not to say"</formula1>
    </dataValidation>
  </dataValidations>
  <printOptions horizontalCentered="1"/>
  <pageMargins left="0.25" right="0.25" top="0.4" bottom="0.4" header="0.5" footer="0.5"/>
  <pageSetup orientation="portrait" fitToHeight="0" fitToWidth="1"/>
  <headerFooter>
    <oddHeader/>
    <oddFooter>&amp;CPayout Delay Cash-Flow Early Warning Sheet&amp;RPage &amp;P of &amp;N</oddFooter>
    <evenHeader/>
    <evenFooter/>
    <firstHeader/>
    <firstFooter/>
  </headerFooter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8"/>
  <sheetViews>
    <sheetView showGridLines="0" workbookViewId="0">
      <selection pane="bottomLeft" activeCell="A1" sqref="A1"/>
    </sheetView>
  </sheetViews>
  <sheetFormatPr baseColWidth="8" defaultRowHeight="15"/>
  <cols>
    <col width="3" customWidth="1" min="1" max="1"/>
    <col width="27" customWidth="1" min="2" max="2"/>
    <col width="19" customWidth="1" min="3" max="3"/>
    <col width="4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4" customWidth="1" min="10" max="10"/>
    <col width="16" customWidth="1" min="11" max="11"/>
    <col width="16" customWidth="1" min="12" max="12"/>
  </cols>
  <sheetData>
    <row r="1" ht="34" customHeight="1">
      <c r="A1" s="1" t="inlineStr">
        <is>
          <t>Cash-Flow Early Warning Dashboard</t>
        </is>
      </c>
    </row>
    <row r="2" ht="30" customHeight="1">
      <c r="A2" s="2" t="inlineStr">
        <is>
          <t>Open this tab first. Metrics update from the yellow input cells in Start Here, Payouts, Bills, and Other Cash.</t>
        </is>
      </c>
    </row>
    <row r="3"/>
    <row r="4">
      <c r="B4" s="17" t="inlineStr">
        <is>
          <t>EARLY WARNING SUMMARY</t>
        </is>
      </c>
    </row>
    <row r="5">
      <c r="B5" s="18" t="inlineStr">
        <is>
          <t>Available cash at start</t>
        </is>
      </c>
      <c r="C5" s="19" t="n">
        <f>'Start Here'!$C$14</f>
        <v>18000</v>
      </c>
    </row>
    <row r="6">
      <c r="B6" s="18" t="inlineStr">
        <is>
          <t>Lowest cash — next 7 days</t>
        </is>
      </c>
      <c r="C6" s="19" t="n">
        <f>MIN(Forecast!$H$7:$H$13)</f>
        <v>8000</v>
      </c>
    </row>
    <row r="7">
      <c r="B7" s="18" t="inlineStr">
        <is>
          <t>Lowest cash — 45 days</t>
        </is>
      </c>
      <c r="C7" s="19" t="n">
        <f>MIN(Forecast!$H$7:$H$51)</f>
        <v>8000</v>
      </c>
    </row>
    <row r="8">
      <c r="B8" s="18" t="inlineStr">
        <is>
          <t>First below-buffer date</t>
        </is>
      </c>
      <c r="C8" s="20" t="n">
        <f>IFERROR(INDEX(Forecast!$A$7:$A$51,MATCH(1,Forecast!$N$7:$N$51,0)),"None")</f>
        <v>46314</v>
      </c>
    </row>
    <row r="9">
      <c r="B9" s="18" t="inlineStr">
        <is>
          <t>Unweighted expected payouts</t>
        </is>
      </c>
      <c r="C9" s="19" t="n">
        <f>SUM(Payouts!$E$7:$E$106)</f>
        <v>8245</v>
      </c>
    </row>
    <row r="10">
      <c r="B10" s="18" t="inlineStr">
        <is>
          <t>Confidence-weighted payouts</t>
        </is>
      </c>
      <c r="C10" s="19" t="n">
        <f>SUM(Payouts!$L$7:$L$106)</f>
        <v>8245</v>
      </c>
    </row>
    <row r="11">
      <c r="B11" s="18" t="inlineStr">
        <is>
          <t>Open late payouts</t>
        </is>
      </c>
      <c r="C11" s="21" t="n">
        <f>COUNTIFS(Payouts!$M$7:$M$106,"&gt;0",Payouts!$I$7:$I$106,"&lt;&gt;Paid",Payouts!$A$7:$A$106,"&lt;&gt;")</f>
        <v>0</v>
      </c>
    </row>
    <row r="12">
      <c r="B12" s="18" t="inlineStr">
        <is>
          <t>Bills due — next 14 days</t>
        </is>
      </c>
      <c r="C12" s="19" t="n">
        <f>SUMIFS(Bills!$E$7:$E$106,Bills!$J$7:$J$106,"&gt;="&amp;'Start Here'!$C$13,Bills!$J$7:$J$106,"&lt;="&amp;'Start Here'!$C$13+13)</f>
        <v>10000</v>
      </c>
    </row>
    <row r="13">
      <c r="B13" s="18" t="inlineStr">
        <is>
          <t>Cash coverage at current plan</t>
        </is>
      </c>
      <c r="C13" s="22" t="n">
        <f>IFERROR(C5/((SUM(Forecast!$E$7:$E$20)+SUM(Forecast!$F$7:$F$20))/14),0)</f>
        <v>25.2</v>
      </c>
    </row>
    <row r="14"/>
    <row r="15"/>
    <row r="16">
      <c r="B16" s="6" t="inlineStr">
        <is>
          <t>STATUS NOW</t>
        </is>
      </c>
      <c r="C16" s="23" t="str">
        <f>IF(C7&lt;0,"CRITICAL",IF(C7&lt;'Start Here'!$C$15,"WARNING",IF(C7&lt;'Start Here'!$C$15*1.2,"WATCH","OK")))</f>
        <v>WARNING</v>
      </c>
    </row>
    <row r="17"/>
    <row r="18"/>
    <row r="19">
      <c r="B19" s="6" t="inlineStr">
        <is>
          <t>ACTION GUIDE</t>
        </is>
      </c>
    </row>
    <row r="20">
      <c r="B20" s="7" t="inlineStr">
        <is>
          <t>CRITICAL</t>
        </is>
      </c>
      <c r="C20" s="24" t="inlineStr">
        <is>
          <t>Confirm bank cash and payout facts today; identify obligations requiring a decision.</t>
        </is>
      </c>
    </row>
    <row r="21">
      <c r="B21" s="7" t="inlineStr">
        <is>
          <t>WARNING</t>
        </is>
      </c>
      <c r="C21" s="24" t="inlineStr">
        <is>
          <t>Update revised payout dates and confidence; review bill timing before committing cash.</t>
        </is>
      </c>
    </row>
    <row r="22">
      <c r="B22" s="7" t="inlineStr">
        <is>
          <t>WATCH</t>
        </is>
      </c>
      <c r="C22" s="24" t="inlineStr">
        <is>
          <t>Request missing payout information and verify the next 14 days of obligations.</t>
        </is>
      </c>
    </row>
    <row r="23">
      <c r="B23" s="7" t="inlineStr">
        <is>
          <t>OK</t>
        </is>
      </c>
      <c r="C23" s="24" t="inlineStr">
        <is>
          <t>Refresh the sheet when a payout or obligation changes.</t>
        </is>
      </c>
    </row>
    <row r="24"/>
    <row r="25"/>
    <row r="26"/>
    <row r="27">
      <c r="B27" s="25" t="inlineStr">
        <is>
          <t>Use this as an early-warning planning model, not as a cash guarantee. Investigate any warning with current bank, payout, and bill information before making a decision.</t>
        </is>
      </c>
    </row>
    <row r="28"/>
  </sheetData>
  <mergeCells count="9">
    <mergeCell ref="C22:F22"/>
    <mergeCell ref="A2:L2"/>
    <mergeCell ref="C23:F23"/>
    <mergeCell ref="C20:F20"/>
    <mergeCell ref="A1:L1"/>
    <mergeCell ref="B19:F19"/>
    <mergeCell ref="C21:F21"/>
    <mergeCell ref="B4:C4"/>
    <mergeCell ref="B27:I28"/>
  </mergeCells>
  <conditionalFormatting sqref="C16">
    <cfRule type="expression" priority="1" dxfId="0">
      <formula>$C$16="CRITICAL"</formula>
    </cfRule>
    <cfRule type="expression" priority="2" dxfId="1">
      <formula>$C$16="WARNING"</formula>
    </cfRule>
    <cfRule type="expression" priority="3" dxfId="2">
      <formula>$C$16="WATCH"</formula>
    </cfRule>
    <cfRule type="expression" priority="4" dxfId="3">
      <formula>$C$16="OK"</formula>
    </cfRule>
  </conditionalFormatting>
  <printOptions horizontalCentered="1"/>
  <pageMargins left="0.25" right="0.25" top="0.4" bottom="0.4" header="0.5" footer="0.5"/>
  <pageSetup orientation="landscape" fitToHeight="0" fitToWidth="1"/>
  <headerFooter>
    <oddHeader/>
    <oddFooter>&amp;CPayout Delay Cash-Flow Early Warning Sheet&amp;RPage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23" customWidth="1" min="2" max="2"/>
    <col width="15" customWidth="1" min="3" max="3"/>
    <col width="15" customWidth="1" min="4" max="4"/>
    <col width="15" customWidth="1" min="5" max="5"/>
    <col width="17" customWidth="1" min="6" max="6"/>
    <col width="17" customWidth="1" min="7" max="7"/>
    <col width="17" customWidth="1" min="8" max="8"/>
    <col width="14" customWidth="1" min="9" max="9"/>
    <col width="17" customWidth="1" min="10" max="10"/>
    <col width="13" customWidth="1" min="11" max="11"/>
    <col width="18" customWidth="1" min="12" max="12"/>
    <col width="12" customWidth="1" min="13" max="13"/>
    <col width="28" customWidth="1" min="14" max="14"/>
  </cols>
  <sheetData>
    <row r="1" ht="34" customHeight="1">
      <c r="A1" s="1" t="inlineStr">
        <is>
          <t>Payouts</t>
        </is>
      </c>
    </row>
    <row r="2" ht="30" customHeight="1">
      <c r="A2" s="2" t="inlineStr">
        <is>
          <t>Yellow cells are inputs. Row 7 is an illustrative example; replace or delete it. Net, forecast date, weighted amount, and delay days calculate automatically.</t>
        </is>
      </c>
    </row>
    <row r="3"/>
    <row r="4"/>
    <row r="5"/>
    <row r="6" ht="34" customHeight="1">
      <c r="A6" s="26" t="inlineStr">
        <is>
          <t>Payout ID</t>
        </is>
      </c>
      <c r="B6" s="26" t="inlineStr">
        <is>
          <t>Order / period reference</t>
        </is>
      </c>
      <c r="C6" s="26" t="inlineStr">
        <is>
          <t>Gross payout ($)</t>
        </is>
      </c>
      <c r="D6" s="26" t="inlineStr">
        <is>
          <t>Fees / reserves ($)</t>
        </is>
      </c>
      <c r="E6" s="26" t="inlineStr">
        <is>
          <t>Net expected ($)</t>
        </is>
      </c>
      <c r="F6" s="26" t="inlineStr">
        <is>
          <t>Original expected date</t>
        </is>
      </c>
      <c r="G6" s="26" t="inlineStr">
        <is>
          <t>Revised expected date</t>
        </is>
      </c>
      <c r="H6" s="26" t="inlineStr">
        <is>
          <t>Forecast receipt date</t>
        </is>
      </c>
      <c r="I6" s="26" t="inlineStr">
        <is>
          <t>Status</t>
        </is>
      </c>
      <c r="J6" s="26" t="inlineStr">
        <is>
          <t>Actual deposit date</t>
        </is>
      </c>
      <c r="K6" s="26" t="inlineStr">
        <is>
          <t>Confidence %</t>
        </is>
      </c>
      <c r="L6" s="26" t="inlineStr">
        <is>
          <t>Weighted forecast ($)</t>
        </is>
      </c>
      <c r="M6" s="26" t="inlineStr">
        <is>
          <t>Delay days</t>
        </is>
      </c>
      <c r="N6" s="26" t="inlineStr">
        <is>
          <t>Notes</t>
        </is>
      </c>
    </row>
    <row r="7">
      <c r="A7" s="27" t="inlineStr">
        <is>
          <t>EXAMPLE-001</t>
        </is>
      </c>
      <c r="B7" s="28" t="inlineStr">
        <is>
          <t>Oct 12–16 batch</t>
        </is>
      </c>
      <c r="C7" s="29" t="n">
        <v>8500</v>
      </c>
      <c r="D7" s="29" t="n">
        <v>255</v>
      </c>
      <c r="E7" s="30" t="n">
        <f>IF(C7="","",MAX(0,C7-D7))</f>
        <v>8245</v>
      </c>
      <c r="F7" s="31" t="n">
        <v>46315</v>
      </c>
      <c r="G7" s="31" t="n"/>
      <c r="H7" s="32" t="n">
        <f>IF(A7="","",IF(I7="Paid",J7,IF(G7&lt;&gt;"",G7,F7)))</f>
        <v>46315</v>
      </c>
      <c r="I7" s="27" t="inlineStr">
        <is>
          <t>Scheduled</t>
        </is>
      </c>
      <c r="J7" s="31" t="n"/>
      <c r="K7" s="33" t="n">
        <v>1</v>
      </c>
      <c r="L7" s="30" t="n">
        <f>IF(A7="","",IF(I7="Paid",E7,IF(I7="Cancelled",0,E7*K7)))</f>
        <v>8245</v>
      </c>
      <c r="M7" s="34" t="n">
        <f>IF(A7="","",IF(I7="Paid",MAX(0,J7-F7),IF(TODAY()&gt;F7,TODAY()-F7,0)))</f>
        <v>0</v>
      </c>
      <c r="N7" s="28" t="inlineStr">
        <is>
          <t>Illustrative row — replace or delete</t>
        </is>
      </c>
    </row>
    <row r="8">
      <c r="A8" s="27" t="n"/>
      <c r="B8" s="28" t="n"/>
      <c r="C8" s="29" t="n"/>
      <c r="D8" s="29" t="n"/>
      <c r="E8" s="30" t="str">
        <f>IF(C8="","",MAX(0,C8-D8))</f>
        <v/>
      </c>
      <c r="F8" s="31" t="n"/>
      <c r="G8" s="31" t="n"/>
      <c r="H8" s="32" t="str">
        <f>IF(A8="","",IF(I8="Paid",J8,IF(G8&lt;&gt;"",G8,F8)))</f>
        <v/>
      </c>
      <c r="I8" s="27" t="n"/>
      <c r="J8" s="31" t="n"/>
      <c r="K8" s="33" t="n"/>
      <c r="L8" s="30" t="str">
        <f>IF(A8="","",IF(I8="Paid",E8,IF(I8="Cancelled",0,E8*K8)))</f>
        <v/>
      </c>
      <c r="M8" s="34" t="str">
        <f>IF(A8="","",IF(I8="Paid",MAX(0,J8-F8),IF(TODAY()&gt;F8,TODAY()-F8,0)))</f>
        <v/>
      </c>
      <c r="N8" s="28" t="n"/>
    </row>
    <row r="9">
      <c r="A9" s="27" t="n"/>
      <c r="B9" s="28" t="n"/>
      <c r="C9" s="29" t="n"/>
      <c r="D9" s="29" t="n"/>
      <c r="E9" s="30" t="str">
        <f>IF(C9="","",MAX(0,C9-D9))</f>
        <v/>
      </c>
      <c r="F9" s="31" t="n"/>
      <c r="G9" s="31" t="n"/>
      <c r="H9" s="32" t="str">
        <f>IF(A9="","",IF(I9="Paid",J9,IF(G9&lt;&gt;"",G9,F9)))</f>
        <v/>
      </c>
      <c r="I9" s="27" t="n"/>
      <c r="J9" s="31" t="n"/>
      <c r="K9" s="33" t="n"/>
      <c r="L9" s="30" t="str">
        <f>IF(A9="","",IF(I9="Paid",E9,IF(I9="Cancelled",0,E9*K9)))</f>
        <v/>
      </c>
      <c r="M9" s="34" t="str">
        <f>IF(A9="","",IF(I9="Paid",MAX(0,J9-F9),IF(TODAY()&gt;F9,TODAY()-F9,0)))</f>
        <v/>
      </c>
      <c r="N9" s="28" t="n"/>
    </row>
    <row r="10">
      <c r="A10" s="27" t="n"/>
      <c r="B10" s="28" t="n"/>
      <c r="C10" s="29" t="n"/>
      <c r="D10" s="29" t="n"/>
      <c r="E10" s="30" t="str">
        <f>IF(C10="","",MAX(0,C10-D10))</f>
        <v/>
      </c>
      <c r="F10" s="31" t="n"/>
      <c r="G10" s="31" t="n"/>
      <c r="H10" s="32" t="str">
        <f>IF(A10="","",IF(I10="Paid",J10,IF(G10&lt;&gt;"",G10,F10)))</f>
        <v/>
      </c>
      <c r="I10" s="27" t="n"/>
      <c r="J10" s="31" t="n"/>
      <c r="K10" s="33" t="n"/>
      <c r="L10" s="30" t="str">
        <f>IF(A10="","",IF(I10="Paid",E10,IF(I10="Cancelled",0,E10*K10)))</f>
        <v/>
      </c>
      <c r="M10" s="34" t="str">
        <f>IF(A10="","",IF(I10="Paid",MAX(0,J10-F10),IF(TODAY()&gt;F10,TODAY()-F10,0)))</f>
        <v/>
      </c>
      <c r="N10" s="28" t="n"/>
    </row>
    <row r="11">
      <c r="A11" s="27" t="n"/>
      <c r="B11" s="28" t="n"/>
      <c r="C11" s="29" t="n"/>
      <c r="D11" s="29" t="n"/>
      <c r="E11" s="30" t="str">
        <f>IF(C11="","",MAX(0,C11-D11))</f>
        <v/>
      </c>
      <c r="F11" s="31" t="n"/>
      <c r="G11" s="31" t="n"/>
      <c r="H11" s="32" t="str">
        <f>IF(A11="","",IF(I11="Paid",J11,IF(G11&lt;&gt;"",G11,F11)))</f>
        <v/>
      </c>
      <c r="I11" s="27" t="n"/>
      <c r="J11" s="31" t="n"/>
      <c r="K11" s="33" t="n"/>
      <c r="L11" s="30" t="str">
        <f>IF(A11="","",IF(I11="Paid",E11,IF(I11="Cancelled",0,E11*K11)))</f>
        <v/>
      </c>
      <c r="M11" s="34" t="str">
        <f>IF(A11="","",IF(I11="Paid",MAX(0,J11-F11),IF(TODAY()&gt;F11,TODAY()-F11,0)))</f>
        <v/>
      </c>
      <c r="N11" s="28" t="n"/>
    </row>
    <row r="12">
      <c r="A12" s="27" t="n"/>
      <c r="B12" s="28" t="n"/>
      <c r="C12" s="29" t="n"/>
      <c r="D12" s="29" t="n"/>
      <c r="E12" s="30" t="str">
        <f>IF(C12="","",MAX(0,C12-D12))</f>
        <v/>
      </c>
      <c r="F12" s="31" t="n"/>
      <c r="G12" s="31" t="n"/>
      <c r="H12" s="32" t="str">
        <f>IF(A12="","",IF(I12="Paid",J12,IF(G12&lt;&gt;"",G12,F12)))</f>
        <v/>
      </c>
      <c r="I12" s="27" t="n"/>
      <c r="J12" s="31" t="n"/>
      <c r="K12" s="33" t="n"/>
      <c r="L12" s="30" t="str">
        <f>IF(A12="","",IF(I12="Paid",E12,IF(I12="Cancelled",0,E12*K12)))</f>
        <v/>
      </c>
      <c r="M12" s="34" t="str">
        <f>IF(A12="","",IF(I12="Paid",MAX(0,J12-F12),IF(TODAY()&gt;F12,TODAY()-F12,0)))</f>
        <v/>
      </c>
      <c r="N12" s="28" t="n"/>
    </row>
    <row r="13">
      <c r="A13" s="27" t="n"/>
      <c r="B13" s="28" t="n"/>
      <c r="C13" s="29" t="n"/>
      <c r="D13" s="29" t="n"/>
      <c r="E13" s="30" t="str">
        <f>IF(C13="","",MAX(0,C13-D13))</f>
        <v/>
      </c>
      <c r="F13" s="31" t="n"/>
      <c r="G13" s="31" t="n"/>
      <c r="H13" s="32" t="str">
        <f>IF(A13="","",IF(I13="Paid",J13,IF(G13&lt;&gt;"",G13,F13)))</f>
        <v/>
      </c>
      <c r="I13" s="27" t="n"/>
      <c r="J13" s="31" t="n"/>
      <c r="K13" s="33" t="n"/>
      <c r="L13" s="30" t="str">
        <f>IF(A13="","",IF(I13="Paid",E13,IF(I13="Cancelled",0,E13*K13)))</f>
        <v/>
      </c>
      <c r="M13" s="34" t="str">
        <f>IF(A13="","",IF(I13="Paid",MAX(0,J13-F13),IF(TODAY()&gt;F13,TODAY()-F13,0)))</f>
        <v/>
      </c>
      <c r="N13" s="28" t="n"/>
    </row>
    <row r="14">
      <c r="A14" s="27" t="n"/>
      <c r="B14" s="28" t="n"/>
      <c r="C14" s="29" t="n"/>
      <c r="D14" s="29" t="n"/>
      <c r="E14" s="30" t="str">
        <f>IF(C14="","",MAX(0,C14-D14))</f>
        <v/>
      </c>
      <c r="F14" s="31" t="n"/>
      <c r="G14" s="31" t="n"/>
      <c r="H14" s="32" t="str">
        <f>IF(A14="","",IF(I14="Paid",J14,IF(G14&lt;&gt;"",G14,F14)))</f>
        <v/>
      </c>
      <c r="I14" s="27" t="n"/>
      <c r="J14" s="31" t="n"/>
      <c r="K14" s="33" t="n"/>
      <c r="L14" s="30" t="str">
        <f>IF(A14="","",IF(I14="Paid",E14,IF(I14="Cancelled",0,E14*K14)))</f>
        <v/>
      </c>
      <c r="M14" s="34" t="str">
        <f>IF(A14="","",IF(I14="Paid",MAX(0,J14-F14),IF(TODAY()&gt;F14,TODAY()-F14,0)))</f>
        <v/>
      </c>
      <c r="N14" s="28" t="n"/>
    </row>
    <row r="15">
      <c r="A15" s="27" t="n"/>
      <c r="B15" s="28" t="n"/>
      <c r="C15" s="29" t="n"/>
      <c r="D15" s="29" t="n"/>
      <c r="E15" s="30" t="str">
        <f>IF(C15="","",MAX(0,C15-D15))</f>
        <v/>
      </c>
      <c r="F15" s="31" t="n"/>
      <c r="G15" s="31" t="n"/>
      <c r="H15" s="32" t="str">
        <f>IF(A15="","",IF(I15="Paid",J15,IF(G15&lt;&gt;"",G15,F15)))</f>
        <v/>
      </c>
      <c r="I15" s="27" t="n"/>
      <c r="J15" s="31" t="n"/>
      <c r="K15" s="33" t="n"/>
      <c r="L15" s="30" t="str">
        <f>IF(A15="","",IF(I15="Paid",E15,IF(I15="Cancelled",0,E15*K15)))</f>
        <v/>
      </c>
      <c r="M15" s="34" t="str">
        <f>IF(A15="","",IF(I15="Paid",MAX(0,J15-F15),IF(TODAY()&gt;F15,TODAY()-F15,0)))</f>
        <v/>
      </c>
      <c r="N15" s="28" t="n"/>
    </row>
    <row r="16">
      <c r="A16" s="27" t="n"/>
      <c r="B16" s="28" t="n"/>
      <c r="C16" s="29" t="n"/>
      <c r="D16" s="29" t="n"/>
      <c r="E16" s="30" t="str">
        <f>IF(C16="","",MAX(0,C16-D16))</f>
        <v/>
      </c>
      <c r="F16" s="31" t="n"/>
      <c r="G16" s="31" t="n"/>
      <c r="H16" s="32" t="str">
        <f>IF(A16="","",IF(I16="Paid",J16,IF(G16&lt;&gt;"",G16,F16)))</f>
        <v/>
      </c>
      <c r="I16" s="27" t="n"/>
      <c r="J16" s="31" t="n"/>
      <c r="K16" s="33" t="n"/>
      <c r="L16" s="30" t="str">
        <f>IF(A16="","",IF(I16="Paid",E16,IF(I16="Cancelled",0,E16*K16)))</f>
        <v/>
      </c>
      <c r="M16" s="34" t="str">
        <f>IF(A16="","",IF(I16="Paid",MAX(0,J16-F16),IF(TODAY()&gt;F16,TODAY()-F16,0)))</f>
        <v/>
      </c>
      <c r="N16" s="28" t="n"/>
    </row>
    <row r="17">
      <c r="A17" s="27" t="n"/>
      <c r="B17" s="28" t="n"/>
      <c r="C17" s="29" t="n"/>
      <c r="D17" s="29" t="n"/>
      <c r="E17" s="30" t="str">
        <f>IF(C17="","",MAX(0,C17-D17))</f>
        <v/>
      </c>
      <c r="F17" s="31" t="n"/>
      <c r="G17" s="31" t="n"/>
      <c r="H17" s="32" t="str">
        <f>IF(A17="","",IF(I17="Paid",J17,IF(G17&lt;&gt;"",G17,F17)))</f>
        <v/>
      </c>
      <c r="I17" s="27" t="n"/>
      <c r="J17" s="31" t="n"/>
      <c r="K17" s="33" t="n"/>
      <c r="L17" s="30" t="str">
        <f>IF(A17="","",IF(I17="Paid",E17,IF(I17="Cancelled",0,E17*K17)))</f>
        <v/>
      </c>
      <c r="M17" s="34" t="str">
        <f>IF(A17="","",IF(I17="Paid",MAX(0,J17-F17),IF(TODAY()&gt;F17,TODAY()-F17,0)))</f>
        <v/>
      </c>
      <c r="N17" s="28" t="n"/>
    </row>
    <row r="18">
      <c r="A18" s="27" t="n"/>
      <c r="B18" s="28" t="n"/>
      <c r="C18" s="29" t="n"/>
      <c r="D18" s="29" t="n"/>
      <c r="E18" s="30" t="str">
        <f>IF(C18="","",MAX(0,C18-D18))</f>
        <v/>
      </c>
      <c r="F18" s="31" t="n"/>
      <c r="G18" s="31" t="n"/>
      <c r="H18" s="32" t="str">
        <f>IF(A18="","",IF(I18="Paid",J18,IF(G18&lt;&gt;"",G18,F18)))</f>
        <v/>
      </c>
      <c r="I18" s="27" t="n"/>
      <c r="J18" s="31" t="n"/>
      <c r="K18" s="33" t="n"/>
      <c r="L18" s="30" t="str">
        <f>IF(A18="","",IF(I18="Paid",E18,IF(I18="Cancelled",0,E18*K18)))</f>
        <v/>
      </c>
      <c r="M18" s="34" t="str">
        <f>IF(A18="","",IF(I18="Paid",MAX(0,J18-F18),IF(TODAY()&gt;F18,TODAY()-F18,0)))</f>
        <v/>
      </c>
      <c r="N18" s="28" t="n"/>
    </row>
    <row r="19">
      <c r="A19" s="27" t="n"/>
      <c r="B19" s="28" t="n"/>
      <c r="C19" s="29" t="n"/>
      <c r="D19" s="29" t="n"/>
      <c r="E19" s="30" t="str">
        <f>IF(C19="","",MAX(0,C19-D19))</f>
        <v/>
      </c>
      <c r="F19" s="31" t="n"/>
      <c r="G19" s="31" t="n"/>
      <c r="H19" s="32" t="str">
        <f>IF(A19="","",IF(I19="Paid",J19,IF(G19&lt;&gt;"",G19,F19)))</f>
        <v/>
      </c>
      <c r="I19" s="27" t="n"/>
      <c r="J19" s="31" t="n"/>
      <c r="K19" s="33" t="n"/>
      <c r="L19" s="30" t="str">
        <f>IF(A19="","",IF(I19="Paid",E19,IF(I19="Cancelled",0,E19*K19)))</f>
        <v/>
      </c>
      <c r="M19" s="34" t="str">
        <f>IF(A19="","",IF(I19="Paid",MAX(0,J19-F19),IF(TODAY()&gt;F19,TODAY()-F19,0)))</f>
        <v/>
      </c>
      <c r="N19" s="28" t="n"/>
    </row>
    <row r="20">
      <c r="A20" s="27" t="n"/>
      <c r="B20" s="28" t="n"/>
      <c r="C20" s="29" t="n"/>
      <c r="D20" s="29" t="n"/>
      <c r="E20" s="30" t="str">
        <f>IF(C20="","",MAX(0,C20-D20))</f>
        <v/>
      </c>
      <c r="F20" s="31" t="n"/>
      <c r="G20" s="31" t="n"/>
      <c r="H20" s="32" t="str">
        <f>IF(A20="","",IF(I20="Paid",J20,IF(G20&lt;&gt;"",G20,F20)))</f>
        <v/>
      </c>
      <c r="I20" s="27" t="n"/>
      <c r="J20" s="31" t="n"/>
      <c r="K20" s="33" t="n"/>
      <c r="L20" s="30" t="str">
        <f>IF(A20="","",IF(I20="Paid",E20,IF(I20="Cancelled",0,E20*K20)))</f>
        <v/>
      </c>
      <c r="M20" s="34" t="str">
        <f>IF(A20="","",IF(I20="Paid",MAX(0,J20-F20),IF(TODAY()&gt;F20,TODAY()-F20,0)))</f>
        <v/>
      </c>
      <c r="N20" s="28" t="n"/>
    </row>
    <row r="21">
      <c r="A21" s="27" t="n"/>
      <c r="B21" s="28" t="n"/>
      <c r="C21" s="29" t="n"/>
      <c r="D21" s="29" t="n"/>
      <c r="E21" s="30" t="str">
        <f>IF(C21="","",MAX(0,C21-D21))</f>
        <v/>
      </c>
      <c r="F21" s="31" t="n"/>
      <c r="G21" s="31" t="n"/>
      <c r="H21" s="32" t="str">
        <f>IF(A21="","",IF(I21="Paid",J21,IF(G21&lt;&gt;"",G21,F21)))</f>
        <v/>
      </c>
      <c r="I21" s="27" t="n"/>
      <c r="J21" s="31" t="n"/>
      <c r="K21" s="33" t="n"/>
      <c r="L21" s="30" t="str">
        <f>IF(A21="","",IF(I21="Paid",E21,IF(I21="Cancelled",0,E21*K21)))</f>
        <v/>
      </c>
      <c r="M21" s="34" t="str">
        <f>IF(A21="","",IF(I21="Paid",MAX(0,J21-F21),IF(TODAY()&gt;F21,TODAY()-F21,0)))</f>
        <v/>
      </c>
      <c r="N21" s="28" t="n"/>
    </row>
    <row r="22">
      <c r="A22" s="27" t="n"/>
      <c r="B22" s="28" t="n"/>
      <c r="C22" s="29" t="n"/>
      <c r="D22" s="29" t="n"/>
      <c r="E22" s="30" t="str">
        <f>IF(C22="","",MAX(0,C22-D22))</f>
        <v/>
      </c>
      <c r="F22" s="31" t="n"/>
      <c r="G22" s="31" t="n"/>
      <c r="H22" s="32" t="str">
        <f>IF(A22="","",IF(I22="Paid",J22,IF(G22&lt;&gt;"",G22,F22)))</f>
        <v/>
      </c>
      <c r="I22" s="27" t="n"/>
      <c r="J22" s="31" t="n"/>
      <c r="K22" s="33" t="n"/>
      <c r="L22" s="30" t="str">
        <f>IF(A22="","",IF(I22="Paid",E22,IF(I22="Cancelled",0,E22*K22)))</f>
        <v/>
      </c>
      <c r="M22" s="34" t="str">
        <f>IF(A22="","",IF(I22="Paid",MAX(0,J22-F22),IF(TODAY()&gt;F22,TODAY()-F22,0)))</f>
        <v/>
      </c>
      <c r="N22" s="28" t="n"/>
    </row>
    <row r="23">
      <c r="A23" s="27" t="n"/>
      <c r="B23" s="28" t="n"/>
      <c r="C23" s="29" t="n"/>
      <c r="D23" s="29" t="n"/>
      <c r="E23" s="30" t="str">
        <f>IF(C23="","",MAX(0,C23-D23))</f>
        <v/>
      </c>
      <c r="F23" s="31" t="n"/>
      <c r="G23" s="31" t="n"/>
      <c r="H23" s="32" t="str">
        <f>IF(A23="","",IF(I23="Paid",J23,IF(G23&lt;&gt;"",G23,F23)))</f>
        <v/>
      </c>
      <c r="I23" s="27" t="n"/>
      <c r="J23" s="31" t="n"/>
      <c r="K23" s="33" t="n"/>
      <c r="L23" s="30" t="str">
        <f>IF(A23="","",IF(I23="Paid",E23,IF(I23="Cancelled",0,E23*K23)))</f>
        <v/>
      </c>
      <c r="M23" s="34" t="str">
        <f>IF(A23="","",IF(I23="Paid",MAX(0,J23-F23),IF(TODAY()&gt;F23,TODAY()-F23,0)))</f>
        <v/>
      </c>
      <c r="N23" s="28" t="n"/>
    </row>
    <row r="24">
      <c r="A24" s="27" t="n"/>
      <c r="B24" s="28" t="n"/>
      <c r="C24" s="29" t="n"/>
      <c r="D24" s="29" t="n"/>
      <c r="E24" s="30" t="str">
        <f>IF(C24="","",MAX(0,C24-D24))</f>
        <v/>
      </c>
      <c r="F24" s="31" t="n"/>
      <c r="G24" s="31" t="n"/>
      <c r="H24" s="32" t="str">
        <f>IF(A24="","",IF(I24="Paid",J24,IF(G24&lt;&gt;"",G24,F24)))</f>
        <v/>
      </c>
      <c r="I24" s="27" t="n"/>
      <c r="J24" s="31" t="n"/>
      <c r="K24" s="33" t="n"/>
      <c r="L24" s="30" t="str">
        <f>IF(A24="","",IF(I24="Paid",E24,IF(I24="Cancelled",0,E24*K24)))</f>
        <v/>
      </c>
      <c r="M24" s="34" t="str">
        <f>IF(A24="","",IF(I24="Paid",MAX(0,J24-F24),IF(TODAY()&gt;F24,TODAY()-F24,0)))</f>
        <v/>
      </c>
      <c r="N24" s="28" t="n"/>
    </row>
    <row r="25">
      <c r="A25" s="27" t="n"/>
      <c r="B25" s="28" t="n"/>
      <c r="C25" s="29" t="n"/>
      <c r="D25" s="29" t="n"/>
      <c r="E25" s="30" t="str">
        <f>IF(C25="","",MAX(0,C25-D25))</f>
        <v/>
      </c>
      <c r="F25" s="31" t="n"/>
      <c r="G25" s="31" t="n"/>
      <c r="H25" s="32" t="str">
        <f>IF(A25="","",IF(I25="Paid",J25,IF(G25&lt;&gt;"",G25,F25)))</f>
        <v/>
      </c>
      <c r="I25" s="27" t="n"/>
      <c r="J25" s="31" t="n"/>
      <c r="K25" s="33" t="n"/>
      <c r="L25" s="30" t="str">
        <f>IF(A25="","",IF(I25="Paid",E25,IF(I25="Cancelled",0,E25*K25)))</f>
        <v/>
      </c>
      <c r="M25" s="34" t="str">
        <f>IF(A25="","",IF(I25="Paid",MAX(0,J25-F25),IF(TODAY()&gt;F25,TODAY()-F25,0)))</f>
        <v/>
      </c>
      <c r="N25" s="28" t="n"/>
    </row>
    <row r="26">
      <c r="A26" s="27" t="n"/>
      <c r="B26" s="28" t="n"/>
      <c r="C26" s="29" t="n"/>
      <c r="D26" s="29" t="n"/>
      <c r="E26" s="30" t="str">
        <f>IF(C26="","",MAX(0,C26-D26))</f>
        <v/>
      </c>
      <c r="F26" s="31" t="n"/>
      <c r="G26" s="31" t="n"/>
      <c r="H26" s="32" t="str">
        <f>IF(A26="","",IF(I26="Paid",J26,IF(G26&lt;&gt;"",G26,F26)))</f>
        <v/>
      </c>
      <c r="I26" s="27" t="n"/>
      <c r="J26" s="31" t="n"/>
      <c r="K26" s="33" t="n"/>
      <c r="L26" s="30" t="str">
        <f>IF(A26="","",IF(I26="Paid",E26,IF(I26="Cancelled",0,E26*K26)))</f>
        <v/>
      </c>
      <c r="M26" s="34" t="str">
        <f>IF(A26="","",IF(I26="Paid",MAX(0,J26-F26),IF(TODAY()&gt;F26,TODAY()-F26,0)))</f>
        <v/>
      </c>
      <c r="N26" s="28" t="n"/>
    </row>
    <row r="27">
      <c r="A27" s="27" t="n"/>
      <c r="B27" s="28" t="n"/>
      <c r="C27" s="29" t="n"/>
      <c r="D27" s="29" t="n"/>
      <c r="E27" s="30" t="str">
        <f>IF(C27="","",MAX(0,C27-D27))</f>
        <v/>
      </c>
      <c r="F27" s="31" t="n"/>
      <c r="G27" s="31" t="n"/>
      <c r="H27" s="32" t="str">
        <f>IF(A27="","",IF(I27="Paid",J27,IF(G27&lt;&gt;"",G27,F27)))</f>
        <v/>
      </c>
      <c r="I27" s="27" t="n"/>
      <c r="J27" s="31" t="n"/>
      <c r="K27" s="33" t="n"/>
      <c r="L27" s="30" t="str">
        <f>IF(A27="","",IF(I27="Paid",E27,IF(I27="Cancelled",0,E27*K27)))</f>
        <v/>
      </c>
      <c r="M27" s="34" t="str">
        <f>IF(A27="","",IF(I27="Paid",MAX(0,J27-F27),IF(TODAY()&gt;F27,TODAY()-F27,0)))</f>
        <v/>
      </c>
      <c r="N27" s="28" t="n"/>
    </row>
    <row r="28">
      <c r="A28" s="27" t="n"/>
      <c r="B28" s="28" t="n"/>
      <c r="C28" s="29" t="n"/>
      <c r="D28" s="29" t="n"/>
      <c r="E28" s="30" t="str">
        <f>IF(C28="","",MAX(0,C28-D28))</f>
        <v/>
      </c>
      <c r="F28" s="31" t="n"/>
      <c r="G28" s="31" t="n"/>
      <c r="H28" s="32" t="str">
        <f>IF(A28="","",IF(I28="Paid",J28,IF(G28&lt;&gt;"",G28,F28)))</f>
        <v/>
      </c>
      <c r="I28" s="27" t="n"/>
      <c r="J28" s="31" t="n"/>
      <c r="K28" s="33" t="n"/>
      <c r="L28" s="30" t="str">
        <f>IF(A28="","",IF(I28="Paid",E28,IF(I28="Cancelled",0,E28*K28)))</f>
        <v/>
      </c>
      <c r="M28" s="34" t="str">
        <f>IF(A28="","",IF(I28="Paid",MAX(0,J28-F28),IF(TODAY()&gt;F28,TODAY()-F28,0)))</f>
        <v/>
      </c>
      <c r="N28" s="28" t="n"/>
    </row>
    <row r="29">
      <c r="A29" s="27" t="n"/>
      <c r="B29" s="28" t="n"/>
      <c r="C29" s="29" t="n"/>
      <c r="D29" s="29" t="n"/>
      <c r="E29" s="30" t="str">
        <f>IF(C29="","",MAX(0,C29-D29))</f>
        <v/>
      </c>
      <c r="F29" s="31" t="n"/>
      <c r="G29" s="31" t="n"/>
      <c r="H29" s="32" t="str">
        <f>IF(A29="","",IF(I29="Paid",J29,IF(G29&lt;&gt;"",G29,F29)))</f>
        <v/>
      </c>
      <c r="I29" s="27" t="n"/>
      <c r="J29" s="31" t="n"/>
      <c r="K29" s="33" t="n"/>
      <c r="L29" s="30" t="str">
        <f>IF(A29="","",IF(I29="Paid",E29,IF(I29="Cancelled",0,E29*K29)))</f>
        <v/>
      </c>
      <c r="M29" s="34" t="str">
        <f>IF(A29="","",IF(I29="Paid",MAX(0,J29-F29),IF(TODAY()&gt;F29,TODAY()-F29,0)))</f>
        <v/>
      </c>
      <c r="N29" s="28" t="n"/>
    </row>
    <row r="30">
      <c r="A30" s="27" t="n"/>
      <c r="B30" s="28" t="n"/>
      <c r="C30" s="29" t="n"/>
      <c r="D30" s="29" t="n"/>
      <c r="E30" s="30" t="str">
        <f>IF(C30="","",MAX(0,C30-D30))</f>
        <v/>
      </c>
      <c r="F30" s="31" t="n"/>
      <c r="G30" s="31" t="n"/>
      <c r="H30" s="32" t="str">
        <f>IF(A30="","",IF(I30="Paid",J30,IF(G30&lt;&gt;"",G30,F30)))</f>
        <v/>
      </c>
      <c r="I30" s="27" t="n"/>
      <c r="J30" s="31" t="n"/>
      <c r="K30" s="33" t="n"/>
      <c r="L30" s="30" t="str">
        <f>IF(A30="","",IF(I30="Paid",E30,IF(I30="Cancelled",0,E30*K30)))</f>
        <v/>
      </c>
      <c r="M30" s="34" t="str">
        <f>IF(A30="","",IF(I30="Paid",MAX(0,J30-F30),IF(TODAY()&gt;F30,TODAY()-F30,0)))</f>
        <v/>
      </c>
      <c r="N30" s="28" t="n"/>
    </row>
    <row r="31">
      <c r="A31" s="27" t="n"/>
      <c r="B31" s="28" t="n"/>
      <c r="C31" s="29" t="n"/>
      <c r="D31" s="29" t="n"/>
      <c r="E31" s="30" t="str">
        <f>IF(C31="","",MAX(0,C31-D31))</f>
        <v/>
      </c>
      <c r="F31" s="31" t="n"/>
      <c r="G31" s="31" t="n"/>
      <c r="H31" s="32" t="str">
        <f>IF(A31="","",IF(I31="Paid",J31,IF(G31&lt;&gt;"",G31,F31)))</f>
        <v/>
      </c>
      <c r="I31" s="27" t="n"/>
      <c r="J31" s="31" t="n"/>
      <c r="K31" s="33" t="n"/>
      <c r="L31" s="30" t="str">
        <f>IF(A31="","",IF(I31="Paid",E31,IF(I31="Cancelled",0,E31*K31)))</f>
        <v/>
      </c>
      <c r="M31" s="34" t="str">
        <f>IF(A31="","",IF(I31="Paid",MAX(0,J31-F31),IF(TODAY()&gt;F31,TODAY()-F31,0)))</f>
        <v/>
      </c>
      <c r="N31" s="28" t="n"/>
    </row>
    <row r="32">
      <c r="A32" s="27" t="n"/>
      <c r="B32" s="28" t="n"/>
      <c r="C32" s="29" t="n"/>
      <c r="D32" s="29" t="n"/>
      <c r="E32" s="30" t="str">
        <f>IF(C32="","",MAX(0,C32-D32))</f>
        <v/>
      </c>
      <c r="F32" s="31" t="n"/>
      <c r="G32" s="31" t="n"/>
      <c r="H32" s="32" t="str">
        <f>IF(A32="","",IF(I32="Paid",J32,IF(G32&lt;&gt;"",G32,F32)))</f>
        <v/>
      </c>
      <c r="I32" s="27" t="n"/>
      <c r="J32" s="31" t="n"/>
      <c r="K32" s="33" t="n"/>
      <c r="L32" s="30" t="str">
        <f>IF(A32="","",IF(I32="Paid",E32,IF(I32="Cancelled",0,E32*K32)))</f>
        <v/>
      </c>
      <c r="M32" s="34" t="str">
        <f>IF(A32="","",IF(I32="Paid",MAX(0,J32-F32),IF(TODAY()&gt;F32,TODAY()-F32,0)))</f>
        <v/>
      </c>
      <c r="N32" s="28" t="n"/>
    </row>
    <row r="33">
      <c r="A33" s="27" t="n"/>
      <c r="B33" s="28" t="n"/>
      <c r="C33" s="29" t="n"/>
      <c r="D33" s="29" t="n"/>
      <c r="E33" s="30" t="str">
        <f>IF(C33="","",MAX(0,C33-D33))</f>
        <v/>
      </c>
      <c r="F33" s="31" t="n"/>
      <c r="G33" s="31" t="n"/>
      <c r="H33" s="32" t="str">
        <f>IF(A33="","",IF(I33="Paid",J33,IF(G33&lt;&gt;"",G33,F33)))</f>
        <v/>
      </c>
      <c r="I33" s="27" t="n"/>
      <c r="J33" s="31" t="n"/>
      <c r="K33" s="33" t="n"/>
      <c r="L33" s="30" t="str">
        <f>IF(A33="","",IF(I33="Paid",E33,IF(I33="Cancelled",0,E33*K33)))</f>
        <v/>
      </c>
      <c r="M33" s="34" t="str">
        <f>IF(A33="","",IF(I33="Paid",MAX(0,J33-F33),IF(TODAY()&gt;F33,TODAY()-F33,0)))</f>
        <v/>
      </c>
      <c r="N33" s="28" t="n"/>
    </row>
    <row r="34">
      <c r="A34" s="27" t="n"/>
      <c r="B34" s="28" t="n"/>
      <c r="C34" s="29" t="n"/>
      <c r="D34" s="29" t="n"/>
      <c r="E34" s="30" t="str">
        <f>IF(C34="","",MAX(0,C34-D34))</f>
        <v/>
      </c>
      <c r="F34" s="31" t="n"/>
      <c r="G34" s="31" t="n"/>
      <c r="H34" s="32" t="str">
        <f>IF(A34="","",IF(I34="Paid",J34,IF(G34&lt;&gt;"",G34,F34)))</f>
        <v/>
      </c>
      <c r="I34" s="27" t="n"/>
      <c r="J34" s="31" t="n"/>
      <c r="K34" s="33" t="n"/>
      <c r="L34" s="30" t="str">
        <f>IF(A34="","",IF(I34="Paid",E34,IF(I34="Cancelled",0,E34*K34)))</f>
        <v/>
      </c>
      <c r="M34" s="34" t="str">
        <f>IF(A34="","",IF(I34="Paid",MAX(0,J34-F34),IF(TODAY()&gt;F34,TODAY()-F34,0)))</f>
        <v/>
      </c>
      <c r="N34" s="28" t="n"/>
    </row>
    <row r="35">
      <c r="A35" s="27" t="n"/>
      <c r="B35" s="28" t="n"/>
      <c r="C35" s="29" t="n"/>
      <c r="D35" s="29" t="n"/>
      <c r="E35" s="30" t="str">
        <f>IF(C35="","",MAX(0,C35-D35))</f>
        <v/>
      </c>
      <c r="F35" s="31" t="n"/>
      <c r="G35" s="31" t="n"/>
      <c r="H35" s="32" t="str">
        <f>IF(A35="","",IF(I35="Paid",J35,IF(G35&lt;&gt;"",G35,F35)))</f>
        <v/>
      </c>
      <c r="I35" s="27" t="n"/>
      <c r="J35" s="31" t="n"/>
      <c r="K35" s="33" t="n"/>
      <c r="L35" s="30" t="str">
        <f>IF(A35="","",IF(I35="Paid",E35,IF(I35="Cancelled",0,E35*K35)))</f>
        <v/>
      </c>
      <c r="M35" s="34" t="str">
        <f>IF(A35="","",IF(I35="Paid",MAX(0,J35-F35),IF(TODAY()&gt;F35,TODAY()-F35,0)))</f>
        <v/>
      </c>
      <c r="N35" s="28" t="n"/>
    </row>
    <row r="36">
      <c r="A36" s="27" t="n"/>
      <c r="B36" s="28" t="n"/>
      <c r="C36" s="29" t="n"/>
      <c r="D36" s="29" t="n"/>
      <c r="E36" s="30" t="str">
        <f>IF(C36="","",MAX(0,C36-D36))</f>
        <v/>
      </c>
      <c r="F36" s="31" t="n"/>
      <c r="G36" s="31" t="n"/>
      <c r="H36" s="32" t="str">
        <f>IF(A36="","",IF(I36="Paid",J36,IF(G36&lt;&gt;"",G36,F36)))</f>
        <v/>
      </c>
      <c r="I36" s="27" t="n"/>
      <c r="J36" s="31" t="n"/>
      <c r="K36" s="33" t="n"/>
      <c r="L36" s="30" t="str">
        <f>IF(A36="","",IF(I36="Paid",E36,IF(I36="Cancelled",0,E36*K36)))</f>
        <v/>
      </c>
      <c r="M36" s="34" t="str">
        <f>IF(A36="","",IF(I36="Paid",MAX(0,J36-F36),IF(TODAY()&gt;F36,TODAY()-F36,0)))</f>
        <v/>
      </c>
      <c r="N36" s="28" t="n"/>
    </row>
    <row r="37">
      <c r="A37" s="27" t="n"/>
      <c r="B37" s="28" t="n"/>
      <c r="C37" s="29" t="n"/>
      <c r="D37" s="29" t="n"/>
      <c r="E37" s="30" t="str">
        <f>IF(C37="","",MAX(0,C37-D37))</f>
        <v/>
      </c>
      <c r="F37" s="31" t="n"/>
      <c r="G37" s="31" t="n"/>
      <c r="H37" s="32" t="str">
        <f>IF(A37="","",IF(I37="Paid",J37,IF(G37&lt;&gt;"",G37,F37)))</f>
        <v/>
      </c>
      <c r="I37" s="27" t="n"/>
      <c r="J37" s="31" t="n"/>
      <c r="K37" s="33" t="n"/>
      <c r="L37" s="30" t="str">
        <f>IF(A37="","",IF(I37="Paid",E37,IF(I37="Cancelled",0,E37*K37)))</f>
        <v/>
      </c>
      <c r="M37" s="34" t="str">
        <f>IF(A37="","",IF(I37="Paid",MAX(0,J37-F37),IF(TODAY()&gt;F37,TODAY()-F37,0)))</f>
        <v/>
      </c>
      <c r="N37" s="28" t="n"/>
    </row>
    <row r="38">
      <c r="A38" s="27" t="n"/>
      <c r="B38" s="28" t="n"/>
      <c r="C38" s="29" t="n"/>
      <c r="D38" s="29" t="n"/>
      <c r="E38" s="30" t="str">
        <f>IF(C38="","",MAX(0,C38-D38))</f>
        <v/>
      </c>
      <c r="F38" s="31" t="n"/>
      <c r="G38" s="31" t="n"/>
      <c r="H38" s="32" t="str">
        <f>IF(A38="","",IF(I38="Paid",J38,IF(G38&lt;&gt;"",G38,F38)))</f>
        <v/>
      </c>
      <c r="I38" s="27" t="n"/>
      <c r="J38" s="31" t="n"/>
      <c r="K38" s="33" t="n"/>
      <c r="L38" s="30" t="str">
        <f>IF(A38="","",IF(I38="Paid",E38,IF(I38="Cancelled",0,E38*K38)))</f>
        <v/>
      </c>
      <c r="M38" s="34" t="str">
        <f>IF(A38="","",IF(I38="Paid",MAX(0,J38-F38),IF(TODAY()&gt;F38,TODAY()-F38,0)))</f>
        <v/>
      </c>
      <c r="N38" s="28" t="n"/>
    </row>
    <row r="39">
      <c r="A39" s="27" t="n"/>
      <c r="B39" s="28" t="n"/>
      <c r="C39" s="29" t="n"/>
      <c r="D39" s="29" t="n"/>
      <c r="E39" s="30" t="str">
        <f>IF(C39="","",MAX(0,C39-D39))</f>
        <v/>
      </c>
      <c r="F39" s="31" t="n"/>
      <c r="G39" s="31" t="n"/>
      <c r="H39" s="32" t="str">
        <f>IF(A39="","",IF(I39="Paid",J39,IF(G39&lt;&gt;"",G39,F39)))</f>
        <v/>
      </c>
      <c r="I39" s="27" t="n"/>
      <c r="J39" s="31" t="n"/>
      <c r="K39" s="33" t="n"/>
      <c r="L39" s="30" t="str">
        <f>IF(A39="","",IF(I39="Paid",E39,IF(I39="Cancelled",0,E39*K39)))</f>
        <v/>
      </c>
      <c r="M39" s="34" t="str">
        <f>IF(A39="","",IF(I39="Paid",MAX(0,J39-F39),IF(TODAY()&gt;F39,TODAY()-F39,0)))</f>
        <v/>
      </c>
      <c r="N39" s="28" t="n"/>
    </row>
    <row r="40">
      <c r="A40" s="27" t="n"/>
      <c r="B40" s="28" t="n"/>
      <c r="C40" s="29" t="n"/>
      <c r="D40" s="29" t="n"/>
      <c r="E40" s="30" t="str">
        <f>IF(C40="","",MAX(0,C40-D40))</f>
        <v/>
      </c>
      <c r="F40" s="31" t="n"/>
      <c r="G40" s="31" t="n"/>
      <c r="H40" s="32" t="str">
        <f>IF(A40="","",IF(I40="Paid",J40,IF(G40&lt;&gt;"",G40,F40)))</f>
        <v/>
      </c>
      <c r="I40" s="27" t="n"/>
      <c r="J40" s="31" t="n"/>
      <c r="K40" s="33" t="n"/>
      <c r="L40" s="30" t="str">
        <f>IF(A40="","",IF(I40="Paid",E40,IF(I40="Cancelled",0,E40*K40)))</f>
        <v/>
      </c>
      <c r="M40" s="34" t="str">
        <f>IF(A40="","",IF(I40="Paid",MAX(0,J40-F40),IF(TODAY()&gt;F40,TODAY()-F40,0)))</f>
        <v/>
      </c>
      <c r="N40" s="28" t="n"/>
    </row>
    <row r="41">
      <c r="A41" s="27" t="n"/>
      <c r="B41" s="28" t="n"/>
      <c r="C41" s="29" t="n"/>
      <c r="D41" s="29" t="n"/>
      <c r="E41" s="30" t="str">
        <f>IF(C41="","",MAX(0,C41-D41))</f>
        <v/>
      </c>
      <c r="F41" s="31" t="n"/>
      <c r="G41" s="31" t="n"/>
      <c r="H41" s="32" t="str">
        <f>IF(A41="","",IF(I41="Paid",J41,IF(G41&lt;&gt;"",G41,F41)))</f>
        <v/>
      </c>
      <c r="I41" s="27" t="n"/>
      <c r="J41" s="31" t="n"/>
      <c r="K41" s="33" t="n"/>
      <c r="L41" s="30" t="str">
        <f>IF(A41="","",IF(I41="Paid",E41,IF(I41="Cancelled",0,E41*K41)))</f>
        <v/>
      </c>
      <c r="M41" s="34" t="str">
        <f>IF(A41="","",IF(I41="Paid",MAX(0,J41-F41),IF(TODAY()&gt;F41,TODAY()-F41,0)))</f>
        <v/>
      </c>
      <c r="N41" s="28" t="n"/>
    </row>
    <row r="42">
      <c r="A42" s="27" t="n"/>
      <c r="B42" s="28" t="n"/>
      <c r="C42" s="29" t="n"/>
      <c r="D42" s="29" t="n"/>
      <c r="E42" s="30" t="str">
        <f>IF(C42="","",MAX(0,C42-D42))</f>
        <v/>
      </c>
      <c r="F42" s="31" t="n"/>
      <c r="G42" s="31" t="n"/>
      <c r="H42" s="32" t="str">
        <f>IF(A42="","",IF(I42="Paid",J42,IF(G42&lt;&gt;"",G42,F42)))</f>
        <v/>
      </c>
      <c r="I42" s="27" t="n"/>
      <c r="J42" s="31" t="n"/>
      <c r="K42" s="33" t="n"/>
      <c r="L42" s="30" t="str">
        <f>IF(A42="","",IF(I42="Paid",E42,IF(I42="Cancelled",0,E42*K42)))</f>
        <v/>
      </c>
      <c r="M42" s="34" t="str">
        <f>IF(A42="","",IF(I42="Paid",MAX(0,J42-F42),IF(TODAY()&gt;F42,TODAY()-F42,0)))</f>
        <v/>
      </c>
      <c r="N42" s="28" t="n"/>
    </row>
    <row r="43">
      <c r="A43" s="27" t="n"/>
      <c r="B43" s="28" t="n"/>
      <c r="C43" s="29" t="n"/>
      <c r="D43" s="29" t="n"/>
      <c r="E43" s="30" t="str">
        <f>IF(C43="","",MAX(0,C43-D43))</f>
        <v/>
      </c>
      <c r="F43" s="31" t="n"/>
      <c r="G43" s="31" t="n"/>
      <c r="H43" s="32" t="str">
        <f>IF(A43="","",IF(I43="Paid",J43,IF(G43&lt;&gt;"",G43,F43)))</f>
        <v/>
      </c>
      <c r="I43" s="27" t="n"/>
      <c r="J43" s="31" t="n"/>
      <c r="K43" s="33" t="n"/>
      <c r="L43" s="30" t="str">
        <f>IF(A43="","",IF(I43="Paid",E43,IF(I43="Cancelled",0,E43*K43)))</f>
        <v/>
      </c>
      <c r="M43" s="34" t="str">
        <f>IF(A43="","",IF(I43="Paid",MAX(0,J43-F43),IF(TODAY()&gt;F43,TODAY()-F43,0)))</f>
        <v/>
      </c>
      <c r="N43" s="28" t="n"/>
    </row>
    <row r="44">
      <c r="A44" s="27" t="n"/>
      <c r="B44" s="28" t="n"/>
      <c r="C44" s="29" t="n"/>
      <c r="D44" s="29" t="n"/>
      <c r="E44" s="30" t="str">
        <f>IF(C44="","",MAX(0,C44-D44))</f>
        <v/>
      </c>
      <c r="F44" s="31" t="n"/>
      <c r="G44" s="31" t="n"/>
      <c r="H44" s="32" t="str">
        <f>IF(A44="","",IF(I44="Paid",J44,IF(G44&lt;&gt;"",G44,F44)))</f>
        <v/>
      </c>
      <c r="I44" s="27" t="n"/>
      <c r="J44" s="31" t="n"/>
      <c r="K44" s="33" t="n"/>
      <c r="L44" s="30" t="str">
        <f>IF(A44="","",IF(I44="Paid",E44,IF(I44="Cancelled",0,E44*K44)))</f>
        <v/>
      </c>
      <c r="M44" s="34" t="str">
        <f>IF(A44="","",IF(I44="Paid",MAX(0,J44-F44),IF(TODAY()&gt;F44,TODAY()-F44,0)))</f>
        <v/>
      </c>
      <c r="N44" s="28" t="n"/>
    </row>
    <row r="45">
      <c r="A45" s="27" t="n"/>
      <c r="B45" s="28" t="n"/>
      <c r="C45" s="29" t="n"/>
      <c r="D45" s="29" t="n"/>
      <c r="E45" s="30" t="str">
        <f>IF(C45="","",MAX(0,C45-D45))</f>
        <v/>
      </c>
      <c r="F45" s="31" t="n"/>
      <c r="G45" s="31" t="n"/>
      <c r="H45" s="32" t="str">
        <f>IF(A45="","",IF(I45="Paid",J45,IF(G45&lt;&gt;"",G45,F45)))</f>
        <v/>
      </c>
      <c r="I45" s="27" t="n"/>
      <c r="J45" s="31" t="n"/>
      <c r="K45" s="33" t="n"/>
      <c r="L45" s="30" t="str">
        <f>IF(A45="","",IF(I45="Paid",E45,IF(I45="Cancelled",0,E45*K45)))</f>
        <v/>
      </c>
      <c r="M45" s="34" t="str">
        <f>IF(A45="","",IF(I45="Paid",MAX(0,J45-F45),IF(TODAY()&gt;F45,TODAY()-F45,0)))</f>
        <v/>
      </c>
      <c r="N45" s="28" t="n"/>
    </row>
    <row r="46">
      <c r="A46" s="27" t="n"/>
      <c r="B46" s="28" t="n"/>
      <c r="C46" s="29" t="n"/>
      <c r="D46" s="29" t="n"/>
      <c r="E46" s="30" t="str">
        <f>IF(C46="","",MAX(0,C46-D46))</f>
        <v/>
      </c>
      <c r="F46" s="31" t="n"/>
      <c r="G46" s="31" t="n"/>
      <c r="H46" s="32" t="str">
        <f>IF(A46="","",IF(I46="Paid",J46,IF(G46&lt;&gt;"",G46,F46)))</f>
        <v/>
      </c>
      <c r="I46" s="27" t="n"/>
      <c r="J46" s="31" t="n"/>
      <c r="K46" s="33" t="n"/>
      <c r="L46" s="30" t="str">
        <f>IF(A46="","",IF(I46="Paid",E46,IF(I46="Cancelled",0,E46*K46)))</f>
        <v/>
      </c>
      <c r="M46" s="34" t="str">
        <f>IF(A46="","",IF(I46="Paid",MAX(0,J46-F46),IF(TODAY()&gt;F46,TODAY()-F46,0)))</f>
        <v/>
      </c>
      <c r="N46" s="28" t="n"/>
    </row>
    <row r="47">
      <c r="A47" s="27" t="n"/>
      <c r="B47" s="28" t="n"/>
      <c r="C47" s="29" t="n"/>
      <c r="D47" s="29" t="n"/>
      <c r="E47" s="30" t="str">
        <f>IF(C47="","",MAX(0,C47-D47))</f>
        <v/>
      </c>
      <c r="F47" s="31" t="n"/>
      <c r="G47" s="31" t="n"/>
      <c r="H47" s="32" t="str">
        <f>IF(A47="","",IF(I47="Paid",J47,IF(G47&lt;&gt;"",G47,F47)))</f>
        <v/>
      </c>
      <c r="I47" s="27" t="n"/>
      <c r="J47" s="31" t="n"/>
      <c r="K47" s="33" t="n"/>
      <c r="L47" s="30" t="str">
        <f>IF(A47="","",IF(I47="Paid",E47,IF(I47="Cancelled",0,E47*K47)))</f>
        <v/>
      </c>
      <c r="M47" s="34" t="str">
        <f>IF(A47="","",IF(I47="Paid",MAX(0,J47-F47),IF(TODAY()&gt;F47,TODAY()-F47,0)))</f>
        <v/>
      </c>
      <c r="N47" s="28" t="n"/>
    </row>
    <row r="48">
      <c r="A48" s="27" t="n"/>
      <c r="B48" s="28" t="n"/>
      <c r="C48" s="29" t="n"/>
      <c r="D48" s="29" t="n"/>
      <c r="E48" s="30" t="str">
        <f>IF(C48="","",MAX(0,C48-D48))</f>
        <v/>
      </c>
      <c r="F48" s="31" t="n"/>
      <c r="G48" s="31" t="n"/>
      <c r="H48" s="32" t="str">
        <f>IF(A48="","",IF(I48="Paid",J48,IF(G48&lt;&gt;"",G48,F48)))</f>
        <v/>
      </c>
      <c r="I48" s="27" t="n"/>
      <c r="J48" s="31" t="n"/>
      <c r="K48" s="33" t="n"/>
      <c r="L48" s="30" t="str">
        <f>IF(A48="","",IF(I48="Paid",E48,IF(I48="Cancelled",0,E48*K48)))</f>
        <v/>
      </c>
      <c r="M48" s="34" t="str">
        <f>IF(A48="","",IF(I48="Paid",MAX(0,J48-F48),IF(TODAY()&gt;F48,TODAY()-F48,0)))</f>
        <v/>
      </c>
      <c r="N48" s="28" t="n"/>
    </row>
    <row r="49">
      <c r="A49" s="27" t="n"/>
      <c r="B49" s="28" t="n"/>
      <c r="C49" s="29" t="n"/>
      <c r="D49" s="29" t="n"/>
      <c r="E49" s="30" t="str">
        <f>IF(C49="","",MAX(0,C49-D49))</f>
        <v/>
      </c>
      <c r="F49" s="31" t="n"/>
      <c r="G49" s="31" t="n"/>
      <c r="H49" s="32" t="str">
        <f>IF(A49="","",IF(I49="Paid",J49,IF(G49&lt;&gt;"",G49,F49)))</f>
        <v/>
      </c>
      <c r="I49" s="27" t="n"/>
      <c r="J49" s="31" t="n"/>
      <c r="K49" s="33" t="n"/>
      <c r="L49" s="30" t="str">
        <f>IF(A49="","",IF(I49="Paid",E49,IF(I49="Cancelled",0,E49*K49)))</f>
        <v/>
      </c>
      <c r="M49" s="34" t="str">
        <f>IF(A49="","",IF(I49="Paid",MAX(0,J49-F49),IF(TODAY()&gt;F49,TODAY()-F49,0)))</f>
        <v/>
      </c>
      <c r="N49" s="28" t="n"/>
    </row>
    <row r="50">
      <c r="A50" s="27" t="n"/>
      <c r="B50" s="28" t="n"/>
      <c r="C50" s="29" t="n"/>
      <c r="D50" s="29" t="n"/>
      <c r="E50" s="30" t="str">
        <f>IF(C50="","",MAX(0,C50-D50))</f>
        <v/>
      </c>
      <c r="F50" s="31" t="n"/>
      <c r="G50" s="31" t="n"/>
      <c r="H50" s="32" t="str">
        <f>IF(A50="","",IF(I50="Paid",J50,IF(G50&lt;&gt;"",G50,F50)))</f>
        <v/>
      </c>
      <c r="I50" s="27" t="n"/>
      <c r="J50" s="31" t="n"/>
      <c r="K50" s="33" t="n"/>
      <c r="L50" s="30" t="str">
        <f>IF(A50="","",IF(I50="Paid",E50,IF(I50="Cancelled",0,E50*K50)))</f>
        <v/>
      </c>
      <c r="M50" s="34" t="str">
        <f>IF(A50="","",IF(I50="Paid",MAX(0,J50-F50),IF(TODAY()&gt;F50,TODAY()-F50,0)))</f>
        <v/>
      </c>
      <c r="N50" s="28" t="n"/>
    </row>
    <row r="51">
      <c r="A51" s="27" t="n"/>
      <c r="B51" s="28" t="n"/>
      <c r="C51" s="29" t="n"/>
      <c r="D51" s="29" t="n"/>
      <c r="E51" s="30" t="str">
        <f>IF(C51="","",MAX(0,C51-D51))</f>
        <v/>
      </c>
      <c r="F51" s="31" t="n"/>
      <c r="G51" s="31" t="n"/>
      <c r="H51" s="32" t="str">
        <f>IF(A51="","",IF(I51="Paid",J51,IF(G51&lt;&gt;"",G51,F51)))</f>
        <v/>
      </c>
      <c r="I51" s="27" t="n"/>
      <c r="J51" s="31" t="n"/>
      <c r="K51" s="33" t="n"/>
      <c r="L51" s="30" t="str">
        <f>IF(A51="","",IF(I51="Paid",E51,IF(I51="Cancelled",0,E51*K51)))</f>
        <v/>
      </c>
      <c r="M51" s="34" t="str">
        <f>IF(A51="","",IF(I51="Paid",MAX(0,J51-F51),IF(TODAY()&gt;F51,TODAY()-F51,0)))</f>
        <v/>
      </c>
      <c r="N51" s="28" t="n"/>
    </row>
    <row r="52">
      <c r="A52" s="27" t="n"/>
      <c r="B52" s="28" t="n"/>
      <c r="C52" s="29" t="n"/>
      <c r="D52" s="29" t="n"/>
      <c r="E52" s="30" t="str">
        <f>IF(C52="","",MAX(0,C52-D52))</f>
        <v/>
      </c>
      <c r="F52" s="31" t="n"/>
      <c r="G52" s="31" t="n"/>
      <c r="H52" s="32" t="str">
        <f>IF(A52="","",IF(I52="Paid",J52,IF(G52&lt;&gt;"",G52,F52)))</f>
        <v/>
      </c>
      <c r="I52" s="27" t="n"/>
      <c r="J52" s="31" t="n"/>
      <c r="K52" s="33" t="n"/>
      <c r="L52" s="30" t="str">
        <f>IF(A52="","",IF(I52="Paid",E52,IF(I52="Cancelled",0,E52*K52)))</f>
        <v/>
      </c>
      <c r="M52" s="34" t="str">
        <f>IF(A52="","",IF(I52="Paid",MAX(0,J52-F52),IF(TODAY()&gt;F52,TODAY()-F52,0)))</f>
        <v/>
      </c>
      <c r="N52" s="28" t="n"/>
    </row>
    <row r="53">
      <c r="A53" s="27" t="n"/>
      <c r="B53" s="28" t="n"/>
      <c r="C53" s="29" t="n"/>
      <c r="D53" s="29" t="n"/>
      <c r="E53" s="30" t="str">
        <f>IF(C53="","",MAX(0,C53-D53))</f>
        <v/>
      </c>
      <c r="F53" s="31" t="n"/>
      <c r="G53" s="31" t="n"/>
      <c r="H53" s="32" t="str">
        <f>IF(A53="","",IF(I53="Paid",J53,IF(G53&lt;&gt;"",G53,F53)))</f>
        <v/>
      </c>
      <c r="I53" s="27" t="n"/>
      <c r="J53" s="31" t="n"/>
      <c r="K53" s="33" t="n"/>
      <c r="L53" s="30" t="str">
        <f>IF(A53="","",IF(I53="Paid",E53,IF(I53="Cancelled",0,E53*K53)))</f>
        <v/>
      </c>
      <c r="M53" s="34" t="str">
        <f>IF(A53="","",IF(I53="Paid",MAX(0,J53-F53),IF(TODAY()&gt;F53,TODAY()-F53,0)))</f>
        <v/>
      </c>
      <c r="N53" s="28" t="n"/>
    </row>
    <row r="54">
      <c r="A54" s="27" t="n"/>
      <c r="B54" s="28" t="n"/>
      <c r="C54" s="29" t="n"/>
      <c r="D54" s="29" t="n"/>
      <c r="E54" s="30" t="str">
        <f>IF(C54="","",MAX(0,C54-D54))</f>
        <v/>
      </c>
      <c r="F54" s="31" t="n"/>
      <c r="G54" s="31" t="n"/>
      <c r="H54" s="32" t="str">
        <f>IF(A54="","",IF(I54="Paid",J54,IF(G54&lt;&gt;"",G54,F54)))</f>
        <v/>
      </c>
      <c r="I54" s="27" t="n"/>
      <c r="J54" s="31" t="n"/>
      <c r="K54" s="33" t="n"/>
      <c r="L54" s="30" t="str">
        <f>IF(A54="","",IF(I54="Paid",E54,IF(I54="Cancelled",0,E54*K54)))</f>
        <v/>
      </c>
      <c r="M54" s="34" t="str">
        <f>IF(A54="","",IF(I54="Paid",MAX(0,J54-F54),IF(TODAY()&gt;F54,TODAY()-F54,0)))</f>
        <v/>
      </c>
      <c r="N54" s="28" t="n"/>
    </row>
    <row r="55">
      <c r="A55" s="27" t="n"/>
      <c r="B55" s="28" t="n"/>
      <c r="C55" s="29" t="n"/>
      <c r="D55" s="29" t="n"/>
      <c r="E55" s="30" t="str">
        <f>IF(C55="","",MAX(0,C55-D55))</f>
        <v/>
      </c>
      <c r="F55" s="31" t="n"/>
      <c r="G55" s="31" t="n"/>
      <c r="H55" s="32" t="str">
        <f>IF(A55="","",IF(I55="Paid",J55,IF(G55&lt;&gt;"",G55,F55)))</f>
        <v/>
      </c>
      <c r="I55" s="27" t="n"/>
      <c r="J55" s="31" t="n"/>
      <c r="K55" s="33" t="n"/>
      <c r="L55" s="30" t="str">
        <f>IF(A55="","",IF(I55="Paid",E55,IF(I55="Cancelled",0,E55*K55)))</f>
        <v/>
      </c>
      <c r="M55" s="34" t="str">
        <f>IF(A55="","",IF(I55="Paid",MAX(0,J55-F55),IF(TODAY()&gt;F55,TODAY()-F55,0)))</f>
        <v/>
      </c>
      <c r="N55" s="28" t="n"/>
    </row>
    <row r="56">
      <c r="A56" s="27" t="n"/>
      <c r="B56" s="28" t="n"/>
      <c r="C56" s="29" t="n"/>
      <c r="D56" s="29" t="n"/>
      <c r="E56" s="30" t="str">
        <f>IF(C56="","",MAX(0,C56-D56))</f>
        <v/>
      </c>
      <c r="F56" s="31" t="n"/>
      <c r="G56" s="31" t="n"/>
      <c r="H56" s="32" t="str">
        <f>IF(A56="","",IF(I56="Paid",J56,IF(G56&lt;&gt;"",G56,F56)))</f>
        <v/>
      </c>
      <c r="I56" s="27" t="n"/>
      <c r="J56" s="31" t="n"/>
      <c r="K56" s="33" t="n"/>
      <c r="L56" s="30" t="str">
        <f>IF(A56="","",IF(I56="Paid",E56,IF(I56="Cancelled",0,E56*K56)))</f>
        <v/>
      </c>
      <c r="M56" s="34" t="str">
        <f>IF(A56="","",IF(I56="Paid",MAX(0,J56-F56),IF(TODAY()&gt;F56,TODAY()-F56,0)))</f>
        <v/>
      </c>
      <c r="N56" s="28" t="n"/>
    </row>
    <row r="57">
      <c r="A57" s="27" t="n"/>
      <c r="B57" s="28" t="n"/>
      <c r="C57" s="29" t="n"/>
      <c r="D57" s="29" t="n"/>
      <c r="E57" s="30" t="str">
        <f>IF(C57="","",MAX(0,C57-D57))</f>
        <v/>
      </c>
      <c r="F57" s="31" t="n"/>
      <c r="G57" s="31" t="n"/>
      <c r="H57" s="32" t="str">
        <f>IF(A57="","",IF(I57="Paid",J57,IF(G57&lt;&gt;"",G57,F57)))</f>
        <v/>
      </c>
      <c r="I57" s="27" t="n"/>
      <c r="J57" s="31" t="n"/>
      <c r="K57" s="33" t="n"/>
      <c r="L57" s="30" t="str">
        <f>IF(A57="","",IF(I57="Paid",E57,IF(I57="Cancelled",0,E57*K57)))</f>
        <v/>
      </c>
      <c r="M57" s="34" t="str">
        <f>IF(A57="","",IF(I57="Paid",MAX(0,J57-F57),IF(TODAY()&gt;F57,TODAY()-F57,0)))</f>
        <v/>
      </c>
      <c r="N57" s="28" t="n"/>
    </row>
    <row r="58">
      <c r="A58" s="27" t="n"/>
      <c r="B58" s="28" t="n"/>
      <c r="C58" s="29" t="n"/>
      <c r="D58" s="29" t="n"/>
      <c r="E58" s="30" t="str">
        <f>IF(C58="","",MAX(0,C58-D58))</f>
        <v/>
      </c>
      <c r="F58" s="31" t="n"/>
      <c r="G58" s="31" t="n"/>
      <c r="H58" s="32" t="str">
        <f>IF(A58="","",IF(I58="Paid",J58,IF(G58&lt;&gt;"",G58,F58)))</f>
        <v/>
      </c>
      <c r="I58" s="27" t="n"/>
      <c r="J58" s="31" t="n"/>
      <c r="K58" s="33" t="n"/>
      <c r="L58" s="30" t="str">
        <f>IF(A58="","",IF(I58="Paid",E58,IF(I58="Cancelled",0,E58*K58)))</f>
        <v/>
      </c>
      <c r="M58" s="34" t="str">
        <f>IF(A58="","",IF(I58="Paid",MAX(0,J58-F58),IF(TODAY()&gt;F58,TODAY()-F58,0)))</f>
        <v/>
      </c>
      <c r="N58" s="28" t="n"/>
    </row>
    <row r="59">
      <c r="A59" s="27" t="n"/>
      <c r="B59" s="28" t="n"/>
      <c r="C59" s="29" t="n"/>
      <c r="D59" s="29" t="n"/>
      <c r="E59" s="30" t="str">
        <f>IF(C59="","",MAX(0,C59-D59))</f>
        <v/>
      </c>
      <c r="F59" s="31" t="n"/>
      <c r="G59" s="31" t="n"/>
      <c r="H59" s="32" t="str">
        <f>IF(A59="","",IF(I59="Paid",J59,IF(G59&lt;&gt;"",G59,F59)))</f>
        <v/>
      </c>
      <c r="I59" s="27" t="n"/>
      <c r="J59" s="31" t="n"/>
      <c r="K59" s="33" t="n"/>
      <c r="L59" s="30" t="str">
        <f>IF(A59="","",IF(I59="Paid",E59,IF(I59="Cancelled",0,E59*K59)))</f>
        <v/>
      </c>
      <c r="M59" s="34" t="str">
        <f>IF(A59="","",IF(I59="Paid",MAX(0,J59-F59),IF(TODAY()&gt;F59,TODAY()-F59,0)))</f>
        <v/>
      </c>
      <c r="N59" s="28" t="n"/>
    </row>
    <row r="60">
      <c r="A60" s="27" t="n"/>
      <c r="B60" s="28" t="n"/>
      <c r="C60" s="29" t="n"/>
      <c r="D60" s="29" t="n"/>
      <c r="E60" s="30" t="str">
        <f>IF(C60="","",MAX(0,C60-D60))</f>
        <v/>
      </c>
      <c r="F60" s="31" t="n"/>
      <c r="G60" s="31" t="n"/>
      <c r="H60" s="32" t="str">
        <f>IF(A60="","",IF(I60="Paid",J60,IF(G60&lt;&gt;"",G60,F60)))</f>
        <v/>
      </c>
      <c r="I60" s="27" t="n"/>
      <c r="J60" s="31" t="n"/>
      <c r="K60" s="33" t="n"/>
      <c r="L60" s="30" t="str">
        <f>IF(A60="","",IF(I60="Paid",E60,IF(I60="Cancelled",0,E60*K60)))</f>
        <v/>
      </c>
      <c r="M60" s="34" t="str">
        <f>IF(A60="","",IF(I60="Paid",MAX(0,J60-F60),IF(TODAY()&gt;F60,TODAY()-F60,0)))</f>
        <v/>
      </c>
      <c r="N60" s="28" t="n"/>
    </row>
    <row r="61">
      <c r="A61" s="27" t="n"/>
      <c r="B61" s="28" t="n"/>
      <c r="C61" s="29" t="n"/>
      <c r="D61" s="29" t="n"/>
      <c r="E61" s="30" t="str">
        <f>IF(C61="","",MAX(0,C61-D61))</f>
        <v/>
      </c>
      <c r="F61" s="31" t="n"/>
      <c r="G61" s="31" t="n"/>
      <c r="H61" s="32" t="str">
        <f>IF(A61="","",IF(I61="Paid",J61,IF(G61&lt;&gt;"",G61,F61)))</f>
        <v/>
      </c>
      <c r="I61" s="27" t="n"/>
      <c r="J61" s="31" t="n"/>
      <c r="K61" s="33" t="n"/>
      <c r="L61" s="30" t="str">
        <f>IF(A61="","",IF(I61="Paid",E61,IF(I61="Cancelled",0,E61*K61)))</f>
        <v/>
      </c>
      <c r="M61" s="34" t="str">
        <f>IF(A61="","",IF(I61="Paid",MAX(0,J61-F61),IF(TODAY()&gt;F61,TODAY()-F61,0)))</f>
        <v/>
      </c>
      <c r="N61" s="28" t="n"/>
    </row>
    <row r="62">
      <c r="A62" s="27" t="n"/>
      <c r="B62" s="28" t="n"/>
      <c r="C62" s="29" t="n"/>
      <c r="D62" s="29" t="n"/>
      <c r="E62" s="30" t="str">
        <f>IF(C62="","",MAX(0,C62-D62))</f>
        <v/>
      </c>
      <c r="F62" s="31" t="n"/>
      <c r="G62" s="31" t="n"/>
      <c r="H62" s="32" t="str">
        <f>IF(A62="","",IF(I62="Paid",J62,IF(G62&lt;&gt;"",G62,F62)))</f>
        <v/>
      </c>
      <c r="I62" s="27" t="n"/>
      <c r="J62" s="31" t="n"/>
      <c r="K62" s="33" t="n"/>
      <c r="L62" s="30" t="str">
        <f>IF(A62="","",IF(I62="Paid",E62,IF(I62="Cancelled",0,E62*K62)))</f>
        <v/>
      </c>
      <c r="M62" s="34" t="str">
        <f>IF(A62="","",IF(I62="Paid",MAX(0,J62-F62),IF(TODAY()&gt;F62,TODAY()-F62,0)))</f>
        <v/>
      </c>
      <c r="N62" s="28" t="n"/>
    </row>
    <row r="63">
      <c r="A63" s="27" t="n"/>
      <c r="B63" s="28" t="n"/>
      <c r="C63" s="29" t="n"/>
      <c r="D63" s="29" t="n"/>
      <c r="E63" s="30" t="str">
        <f>IF(C63="","",MAX(0,C63-D63))</f>
        <v/>
      </c>
      <c r="F63" s="31" t="n"/>
      <c r="G63" s="31" t="n"/>
      <c r="H63" s="32" t="str">
        <f>IF(A63="","",IF(I63="Paid",J63,IF(G63&lt;&gt;"",G63,F63)))</f>
        <v/>
      </c>
      <c r="I63" s="27" t="n"/>
      <c r="J63" s="31" t="n"/>
      <c r="K63" s="33" t="n"/>
      <c r="L63" s="30" t="str">
        <f>IF(A63="","",IF(I63="Paid",E63,IF(I63="Cancelled",0,E63*K63)))</f>
        <v/>
      </c>
      <c r="M63" s="34" t="str">
        <f>IF(A63="","",IF(I63="Paid",MAX(0,J63-F63),IF(TODAY()&gt;F63,TODAY()-F63,0)))</f>
        <v/>
      </c>
      <c r="N63" s="28" t="n"/>
    </row>
    <row r="64">
      <c r="A64" s="27" t="n"/>
      <c r="B64" s="28" t="n"/>
      <c r="C64" s="29" t="n"/>
      <c r="D64" s="29" t="n"/>
      <c r="E64" s="30" t="str">
        <f>IF(C64="","",MAX(0,C64-D64))</f>
        <v/>
      </c>
      <c r="F64" s="31" t="n"/>
      <c r="G64" s="31" t="n"/>
      <c r="H64" s="32" t="str">
        <f>IF(A64="","",IF(I64="Paid",J64,IF(G64&lt;&gt;"",G64,F64)))</f>
        <v/>
      </c>
      <c r="I64" s="27" t="n"/>
      <c r="J64" s="31" t="n"/>
      <c r="K64" s="33" t="n"/>
      <c r="L64" s="30" t="str">
        <f>IF(A64="","",IF(I64="Paid",E64,IF(I64="Cancelled",0,E64*K64)))</f>
        <v/>
      </c>
      <c r="M64" s="34" t="str">
        <f>IF(A64="","",IF(I64="Paid",MAX(0,J64-F64),IF(TODAY()&gt;F64,TODAY()-F64,0)))</f>
        <v/>
      </c>
      <c r="N64" s="28" t="n"/>
    </row>
    <row r="65">
      <c r="A65" s="27" t="n"/>
      <c r="B65" s="28" t="n"/>
      <c r="C65" s="29" t="n"/>
      <c r="D65" s="29" t="n"/>
      <c r="E65" s="30" t="str">
        <f>IF(C65="","",MAX(0,C65-D65))</f>
        <v/>
      </c>
      <c r="F65" s="31" t="n"/>
      <c r="G65" s="31" t="n"/>
      <c r="H65" s="32" t="str">
        <f>IF(A65="","",IF(I65="Paid",J65,IF(G65&lt;&gt;"",G65,F65)))</f>
        <v/>
      </c>
      <c r="I65" s="27" t="n"/>
      <c r="J65" s="31" t="n"/>
      <c r="K65" s="33" t="n"/>
      <c r="L65" s="30" t="str">
        <f>IF(A65="","",IF(I65="Paid",E65,IF(I65="Cancelled",0,E65*K65)))</f>
        <v/>
      </c>
      <c r="M65" s="34" t="str">
        <f>IF(A65="","",IF(I65="Paid",MAX(0,J65-F65),IF(TODAY()&gt;F65,TODAY()-F65,0)))</f>
        <v/>
      </c>
      <c r="N65" s="28" t="n"/>
    </row>
    <row r="66">
      <c r="A66" s="27" t="n"/>
      <c r="B66" s="28" t="n"/>
      <c r="C66" s="29" t="n"/>
      <c r="D66" s="29" t="n"/>
      <c r="E66" s="30" t="str">
        <f>IF(C66="","",MAX(0,C66-D66))</f>
        <v/>
      </c>
      <c r="F66" s="31" t="n"/>
      <c r="G66" s="31" t="n"/>
      <c r="H66" s="32" t="str">
        <f>IF(A66="","",IF(I66="Paid",J66,IF(G66&lt;&gt;"",G66,F66)))</f>
        <v/>
      </c>
      <c r="I66" s="27" t="n"/>
      <c r="J66" s="31" t="n"/>
      <c r="K66" s="33" t="n"/>
      <c r="L66" s="30" t="str">
        <f>IF(A66="","",IF(I66="Paid",E66,IF(I66="Cancelled",0,E66*K66)))</f>
        <v/>
      </c>
      <c r="M66" s="34" t="str">
        <f>IF(A66="","",IF(I66="Paid",MAX(0,J66-F66),IF(TODAY()&gt;F66,TODAY()-F66,0)))</f>
        <v/>
      </c>
      <c r="N66" s="28" t="n"/>
    </row>
    <row r="67">
      <c r="A67" s="27" t="n"/>
      <c r="B67" s="28" t="n"/>
      <c r="C67" s="29" t="n"/>
      <c r="D67" s="29" t="n"/>
      <c r="E67" s="30" t="str">
        <f>IF(C67="","",MAX(0,C67-D67))</f>
        <v/>
      </c>
      <c r="F67" s="31" t="n"/>
      <c r="G67" s="31" t="n"/>
      <c r="H67" s="32" t="str">
        <f>IF(A67="","",IF(I67="Paid",J67,IF(G67&lt;&gt;"",G67,F67)))</f>
        <v/>
      </c>
      <c r="I67" s="27" t="n"/>
      <c r="J67" s="31" t="n"/>
      <c r="K67" s="33" t="n"/>
      <c r="L67" s="30" t="str">
        <f>IF(A67="","",IF(I67="Paid",E67,IF(I67="Cancelled",0,E67*K67)))</f>
        <v/>
      </c>
      <c r="M67" s="34" t="str">
        <f>IF(A67="","",IF(I67="Paid",MAX(0,J67-F67),IF(TODAY()&gt;F67,TODAY()-F67,0)))</f>
        <v/>
      </c>
      <c r="N67" s="28" t="n"/>
    </row>
    <row r="68">
      <c r="A68" s="27" t="n"/>
      <c r="B68" s="28" t="n"/>
      <c r="C68" s="29" t="n"/>
      <c r="D68" s="29" t="n"/>
      <c r="E68" s="30" t="str">
        <f>IF(C68="","",MAX(0,C68-D68))</f>
        <v/>
      </c>
      <c r="F68" s="31" t="n"/>
      <c r="G68" s="31" t="n"/>
      <c r="H68" s="32" t="str">
        <f>IF(A68="","",IF(I68="Paid",J68,IF(G68&lt;&gt;"",G68,F68)))</f>
        <v/>
      </c>
      <c r="I68" s="27" t="n"/>
      <c r="J68" s="31" t="n"/>
      <c r="K68" s="33" t="n"/>
      <c r="L68" s="30" t="str">
        <f>IF(A68="","",IF(I68="Paid",E68,IF(I68="Cancelled",0,E68*K68)))</f>
        <v/>
      </c>
      <c r="M68" s="34" t="str">
        <f>IF(A68="","",IF(I68="Paid",MAX(0,J68-F68),IF(TODAY()&gt;F68,TODAY()-F68,0)))</f>
        <v/>
      </c>
      <c r="N68" s="28" t="n"/>
    </row>
    <row r="69">
      <c r="A69" s="27" t="n"/>
      <c r="B69" s="28" t="n"/>
      <c r="C69" s="29" t="n"/>
      <c r="D69" s="29" t="n"/>
      <c r="E69" s="30" t="str">
        <f>IF(C69="","",MAX(0,C69-D69))</f>
        <v/>
      </c>
      <c r="F69" s="31" t="n"/>
      <c r="G69" s="31" t="n"/>
      <c r="H69" s="32" t="str">
        <f>IF(A69="","",IF(I69="Paid",J69,IF(G69&lt;&gt;"",G69,F69)))</f>
        <v/>
      </c>
      <c r="I69" s="27" t="n"/>
      <c r="J69" s="31" t="n"/>
      <c r="K69" s="33" t="n"/>
      <c r="L69" s="30" t="str">
        <f>IF(A69="","",IF(I69="Paid",E69,IF(I69="Cancelled",0,E69*K69)))</f>
        <v/>
      </c>
      <c r="M69" s="34" t="str">
        <f>IF(A69="","",IF(I69="Paid",MAX(0,J69-F69),IF(TODAY()&gt;F69,TODAY()-F69,0)))</f>
        <v/>
      </c>
      <c r="N69" s="28" t="n"/>
    </row>
    <row r="70">
      <c r="A70" s="27" t="n"/>
      <c r="B70" s="28" t="n"/>
      <c r="C70" s="29" t="n"/>
      <c r="D70" s="29" t="n"/>
      <c r="E70" s="30" t="str">
        <f>IF(C70="","",MAX(0,C70-D70))</f>
        <v/>
      </c>
      <c r="F70" s="31" t="n"/>
      <c r="G70" s="31" t="n"/>
      <c r="H70" s="32" t="str">
        <f>IF(A70="","",IF(I70="Paid",J70,IF(G70&lt;&gt;"",G70,F70)))</f>
        <v/>
      </c>
      <c r="I70" s="27" t="n"/>
      <c r="J70" s="31" t="n"/>
      <c r="K70" s="33" t="n"/>
      <c r="L70" s="30" t="str">
        <f>IF(A70="","",IF(I70="Paid",E70,IF(I70="Cancelled",0,E70*K70)))</f>
        <v/>
      </c>
      <c r="M70" s="34" t="str">
        <f>IF(A70="","",IF(I70="Paid",MAX(0,J70-F70),IF(TODAY()&gt;F70,TODAY()-F70,0)))</f>
        <v/>
      </c>
      <c r="N70" s="28" t="n"/>
    </row>
    <row r="71">
      <c r="A71" s="27" t="n"/>
      <c r="B71" s="28" t="n"/>
      <c r="C71" s="29" t="n"/>
      <c r="D71" s="29" t="n"/>
      <c r="E71" s="30" t="str">
        <f>IF(C71="","",MAX(0,C71-D71))</f>
        <v/>
      </c>
      <c r="F71" s="31" t="n"/>
      <c r="G71" s="31" t="n"/>
      <c r="H71" s="32" t="str">
        <f>IF(A71="","",IF(I71="Paid",J71,IF(G71&lt;&gt;"",G71,F71)))</f>
        <v/>
      </c>
      <c r="I71" s="27" t="n"/>
      <c r="J71" s="31" t="n"/>
      <c r="K71" s="33" t="n"/>
      <c r="L71" s="30" t="str">
        <f>IF(A71="","",IF(I71="Paid",E71,IF(I71="Cancelled",0,E71*K71)))</f>
        <v/>
      </c>
      <c r="M71" s="34" t="str">
        <f>IF(A71="","",IF(I71="Paid",MAX(0,J71-F71),IF(TODAY()&gt;F71,TODAY()-F71,0)))</f>
        <v/>
      </c>
      <c r="N71" s="28" t="n"/>
    </row>
    <row r="72">
      <c r="A72" s="27" t="n"/>
      <c r="B72" s="28" t="n"/>
      <c r="C72" s="29" t="n"/>
      <c r="D72" s="29" t="n"/>
      <c r="E72" s="30" t="str">
        <f>IF(C72="","",MAX(0,C72-D72))</f>
        <v/>
      </c>
      <c r="F72" s="31" t="n"/>
      <c r="G72" s="31" t="n"/>
      <c r="H72" s="32" t="str">
        <f>IF(A72="","",IF(I72="Paid",J72,IF(G72&lt;&gt;"",G72,F72)))</f>
        <v/>
      </c>
      <c r="I72" s="27" t="n"/>
      <c r="J72" s="31" t="n"/>
      <c r="K72" s="33" t="n"/>
      <c r="L72" s="30" t="str">
        <f>IF(A72="","",IF(I72="Paid",E72,IF(I72="Cancelled",0,E72*K72)))</f>
        <v/>
      </c>
      <c r="M72" s="34" t="str">
        <f>IF(A72="","",IF(I72="Paid",MAX(0,J72-F72),IF(TODAY()&gt;F72,TODAY()-F72,0)))</f>
        <v/>
      </c>
      <c r="N72" s="28" t="n"/>
    </row>
    <row r="73">
      <c r="A73" s="27" t="n"/>
      <c r="B73" s="28" t="n"/>
      <c r="C73" s="29" t="n"/>
      <c r="D73" s="29" t="n"/>
      <c r="E73" s="30" t="str">
        <f>IF(C73="","",MAX(0,C73-D73))</f>
        <v/>
      </c>
      <c r="F73" s="31" t="n"/>
      <c r="G73" s="31" t="n"/>
      <c r="H73" s="32" t="str">
        <f>IF(A73="","",IF(I73="Paid",J73,IF(G73&lt;&gt;"",G73,F73)))</f>
        <v/>
      </c>
      <c r="I73" s="27" t="n"/>
      <c r="J73" s="31" t="n"/>
      <c r="K73" s="33" t="n"/>
      <c r="L73" s="30" t="str">
        <f>IF(A73="","",IF(I73="Paid",E73,IF(I73="Cancelled",0,E73*K73)))</f>
        <v/>
      </c>
      <c r="M73" s="34" t="str">
        <f>IF(A73="","",IF(I73="Paid",MAX(0,J73-F73),IF(TODAY()&gt;F73,TODAY()-F73,0)))</f>
        <v/>
      </c>
      <c r="N73" s="28" t="n"/>
    </row>
    <row r="74">
      <c r="A74" s="27" t="n"/>
      <c r="B74" s="28" t="n"/>
      <c r="C74" s="29" t="n"/>
      <c r="D74" s="29" t="n"/>
      <c r="E74" s="30" t="str">
        <f>IF(C74="","",MAX(0,C74-D74))</f>
        <v/>
      </c>
      <c r="F74" s="31" t="n"/>
      <c r="G74" s="31" t="n"/>
      <c r="H74" s="32" t="str">
        <f>IF(A74="","",IF(I74="Paid",J74,IF(G74&lt;&gt;"",G74,F74)))</f>
        <v/>
      </c>
      <c r="I74" s="27" t="n"/>
      <c r="J74" s="31" t="n"/>
      <c r="K74" s="33" t="n"/>
      <c r="L74" s="30" t="str">
        <f>IF(A74="","",IF(I74="Paid",E74,IF(I74="Cancelled",0,E74*K74)))</f>
        <v/>
      </c>
      <c r="M74" s="34" t="str">
        <f>IF(A74="","",IF(I74="Paid",MAX(0,J74-F74),IF(TODAY()&gt;F74,TODAY()-F74,0)))</f>
        <v/>
      </c>
      <c r="N74" s="28" t="n"/>
    </row>
    <row r="75">
      <c r="A75" s="27" t="n"/>
      <c r="B75" s="28" t="n"/>
      <c r="C75" s="29" t="n"/>
      <c r="D75" s="29" t="n"/>
      <c r="E75" s="30" t="str">
        <f>IF(C75="","",MAX(0,C75-D75))</f>
        <v/>
      </c>
      <c r="F75" s="31" t="n"/>
      <c r="G75" s="31" t="n"/>
      <c r="H75" s="32" t="str">
        <f>IF(A75="","",IF(I75="Paid",J75,IF(G75&lt;&gt;"",G75,F75)))</f>
        <v/>
      </c>
      <c r="I75" s="27" t="n"/>
      <c r="J75" s="31" t="n"/>
      <c r="K75" s="33" t="n"/>
      <c r="L75" s="30" t="str">
        <f>IF(A75="","",IF(I75="Paid",E75,IF(I75="Cancelled",0,E75*K75)))</f>
        <v/>
      </c>
      <c r="M75" s="34" t="str">
        <f>IF(A75="","",IF(I75="Paid",MAX(0,J75-F75),IF(TODAY()&gt;F75,TODAY()-F75,0)))</f>
        <v/>
      </c>
      <c r="N75" s="28" t="n"/>
    </row>
    <row r="76">
      <c r="A76" s="27" t="n"/>
      <c r="B76" s="28" t="n"/>
      <c r="C76" s="29" t="n"/>
      <c r="D76" s="29" t="n"/>
      <c r="E76" s="30" t="str">
        <f>IF(C76="","",MAX(0,C76-D76))</f>
        <v/>
      </c>
      <c r="F76" s="31" t="n"/>
      <c r="G76" s="31" t="n"/>
      <c r="H76" s="32" t="str">
        <f>IF(A76="","",IF(I76="Paid",J76,IF(G76&lt;&gt;"",G76,F76)))</f>
        <v/>
      </c>
      <c r="I76" s="27" t="n"/>
      <c r="J76" s="31" t="n"/>
      <c r="K76" s="33" t="n"/>
      <c r="L76" s="30" t="str">
        <f>IF(A76="","",IF(I76="Paid",E76,IF(I76="Cancelled",0,E76*K76)))</f>
        <v/>
      </c>
      <c r="M76" s="34" t="str">
        <f>IF(A76="","",IF(I76="Paid",MAX(0,J76-F76),IF(TODAY()&gt;F76,TODAY()-F76,0)))</f>
        <v/>
      </c>
      <c r="N76" s="28" t="n"/>
    </row>
    <row r="77">
      <c r="A77" s="27" t="n"/>
      <c r="B77" s="28" t="n"/>
      <c r="C77" s="29" t="n"/>
      <c r="D77" s="29" t="n"/>
      <c r="E77" s="30" t="str">
        <f>IF(C77="","",MAX(0,C77-D77))</f>
        <v/>
      </c>
      <c r="F77" s="31" t="n"/>
      <c r="G77" s="31" t="n"/>
      <c r="H77" s="32" t="str">
        <f>IF(A77="","",IF(I77="Paid",J77,IF(G77&lt;&gt;"",G77,F77)))</f>
        <v/>
      </c>
      <c r="I77" s="27" t="n"/>
      <c r="J77" s="31" t="n"/>
      <c r="K77" s="33" t="n"/>
      <c r="L77" s="30" t="str">
        <f>IF(A77="","",IF(I77="Paid",E77,IF(I77="Cancelled",0,E77*K77)))</f>
        <v/>
      </c>
      <c r="M77" s="34" t="str">
        <f>IF(A77="","",IF(I77="Paid",MAX(0,J77-F77),IF(TODAY()&gt;F77,TODAY()-F77,0)))</f>
        <v/>
      </c>
      <c r="N77" s="28" t="n"/>
    </row>
    <row r="78">
      <c r="A78" s="27" t="n"/>
      <c r="B78" s="28" t="n"/>
      <c r="C78" s="29" t="n"/>
      <c r="D78" s="29" t="n"/>
      <c r="E78" s="30" t="str">
        <f>IF(C78="","",MAX(0,C78-D78))</f>
        <v/>
      </c>
      <c r="F78" s="31" t="n"/>
      <c r="G78" s="31" t="n"/>
      <c r="H78" s="32" t="str">
        <f>IF(A78="","",IF(I78="Paid",J78,IF(G78&lt;&gt;"",G78,F78)))</f>
        <v/>
      </c>
      <c r="I78" s="27" t="n"/>
      <c r="J78" s="31" t="n"/>
      <c r="K78" s="33" t="n"/>
      <c r="L78" s="30" t="str">
        <f>IF(A78="","",IF(I78="Paid",E78,IF(I78="Cancelled",0,E78*K78)))</f>
        <v/>
      </c>
      <c r="M78" s="34" t="str">
        <f>IF(A78="","",IF(I78="Paid",MAX(0,J78-F78),IF(TODAY()&gt;F78,TODAY()-F78,0)))</f>
        <v/>
      </c>
      <c r="N78" s="28" t="n"/>
    </row>
    <row r="79">
      <c r="A79" s="27" t="n"/>
      <c r="B79" s="28" t="n"/>
      <c r="C79" s="29" t="n"/>
      <c r="D79" s="29" t="n"/>
      <c r="E79" s="30" t="str">
        <f>IF(C79="","",MAX(0,C79-D79))</f>
        <v/>
      </c>
      <c r="F79" s="31" t="n"/>
      <c r="G79" s="31" t="n"/>
      <c r="H79" s="32" t="str">
        <f>IF(A79="","",IF(I79="Paid",J79,IF(G79&lt;&gt;"",G79,F79)))</f>
        <v/>
      </c>
      <c r="I79" s="27" t="n"/>
      <c r="J79" s="31" t="n"/>
      <c r="K79" s="33" t="n"/>
      <c r="L79" s="30" t="str">
        <f>IF(A79="","",IF(I79="Paid",E79,IF(I79="Cancelled",0,E79*K79)))</f>
        <v/>
      </c>
      <c r="M79" s="34" t="str">
        <f>IF(A79="","",IF(I79="Paid",MAX(0,J79-F79),IF(TODAY()&gt;F79,TODAY()-F79,0)))</f>
        <v/>
      </c>
      <c r="N79" s="28" t="n"/>
    </row>
    <row r="80">
      <c r="A80" s="27" t="n"/>
      <c r="B80" s="28" t="n"/>
      <c r="C80" s="29" t="n"/>
      <c r="D80" s="29" t="n"/>
      <c r="E80" s="30" t="str">
        <f>IF(C80="","",MAX(0,C80-D80))</f>
        <v/>
      </c>
      <c r="F80" s="31" t="n"/>
      <c r="G80" s="31" t="n"/>
      <c r="H80" s="32" t="str">
        <f>IF(A80="","",IF(I80="Paid",J80,IF(G80&lt;&gt;"",G80,F80)))</f>
        <v/>
      </c>
      <c r="I80" s="27" t="n"/>
      <c r="J80" s="31" t="n"/>
      <c r="K80" s="33" t="n"/>
      <c r="L80" s="30" t="str">
        <f>IF(A80="","",IF(I80="Paid",E80,IF(I80="Cancelled",0,E80*K80)))</f>
        <v/>
      </c>
      <c r="M80" s="34" t="str">
        <f>IF(A80="","",IF(I80="Paid",MAX(0,J80-F80),IF(TODAY()&gt;F80,TODAY()-F80,0)))</f>
        <v/>
      </c>
      <c r="N80" s="28" t="n"/>
    </row>
    <row r="81">
      <c r="A81" s="27" t="n"/>
      <c r="B81" s="28" t="n"/>
      <c r="C81" s="29" t="n"/>
      <c r="D81" s="29" t="n"/>
      <c r="E81" s="30" t="str">
        <f>IF(C81="","",MAX(0,C81-D81))</f>
        <v/>
      </c>
      <c r="F81" s="31" t="n"/>
      <c r="G81" s="31" t="n"/>
      <c r="H81" s="32" t="str">
        <f>IF(A81="","",IF(I81="Paid",J81,IF(G81&lt;&gt;"",G81,F81)))</f>
        <v/>
      </c>
      <c r="I81" s="27" t="n"/>
      <c r="J81" s="31" t="n"/>
      <c r="K81" s="33" t="n"/>
      <c r="L81" s="30" t="str">
        <f>IF(A81="","",IF(I81="Paid",E81,IF(I81="Cancelled",0,E81*K81)))</f>
        <v/>
      </c>
      <c r="M81" s="34" t="str">
        <f>IF(A81="","",IF(I81="Paid",MAX(0,J81-F81),IF(TODAY()&gt;F81,TODAY()-F81,0)))</f>
        <v/>
      </c>
      <c r="N81" s="28" t="n"/>
    </row>
    <row r="82">
      <c r="A82" s="27" t="n"/>
      <c r="B82" s="28" t="n"/>
      <c r="C82" s="29" t="n"/>
      <c r="D82" s="29" t="n"/>
      <c r="E82" s="30" t="str">
        <f>IF(C82="","",MAX(0,C82-D82))</f>
        <v/>
      </c>
      <c r="F82" s="31" t="n"/>
      <c r="G82" s="31" t="n"/>
      <c r="H82" s="32" t="str">
        <f>IF(A82="","",IF(I82="Paid",J82,IF(G82&lt;&gt;"",G82,F82)))</f>
        <v/>
      </c>
      <c r="I82" s="27" t="n"/>
      <c r="J82" s="31" t="n"/>
      <c r="K82" s="33" t="n"/>
      <c r="L82" s="30" t="str">
        <f>IF(A82="","",IF(I82="Paid",E82,IF(I82="Cancelled",0,E82*K82)))</f>
        <v/>
      </c>
      <c r="M82" s="34" t="str">
        <f>IF(A82="","",IF(I82="Paid",MAX(0,J82-F82),IF(TODAY()&gt;F82,TODAY()-F82,0)))</f>
        <v/>
      </c>
      <c r="N82" s="28" t="n"/>
    </row>
    <row r="83">
      <c r="A83" s="27" t="n"/>
      <c r="B83" s="28" t="n"/>
      <c r="C83" s="29" t="n"/>
      <c r="D83" s="29" t="n"/>
      <c r="E83" s="30" t="str">
        <f>IF(C83="","",MAX(0,C83-D83))</f>
        <v/>
      </c>
      <c r="F83" s="31" t="n"/>
      <c r="G83" s="31" t="n"/>
      <c r="H83" s="32" t="str">
        <f>IF(A83="","",IF(I83="Paid",J83,IF(G83&lt;&gt;"",G83,F83)))</f>
        <v/>
      </c>
      <c r="I83" s="27" t="n"/>
      <c r="J83" s="31" t="n"/>
      <c r="K83" s="33" t="n"/>
      <c r="L83" s="30" t="str">
        <f>IF(A83="","",IF(I83="Paid",E83,IF(I83="Cancelled",0,E83*K83)))</f>
        <v/>
      </c>
      <c r="M83" s="34" t="str">
        <f>IF(A83="","",IF(I83="Paid",MAX(0,J83-F83),IF(TODAY()&gt;F83,TODAY()-F83,0)))</f>
        <v/>
      </c>
      <c r="N83" s="28" t="n"/>
    </row>
    <row r="84">
      <c r="A84" s="27" t="n"/>
      <c r="B84" s="28" t="n"/>
      <c r="C84" s="29" t="n"/>
      <c r="D84" s="29" t="n"/>
      <c r="E84" s="30" t="str">
        <f>IF(C84="","",MAX(0,C84-D84))</f>
        <v/>
      </c>
      <c r="F84" s="31" t="n"/>
      <c r="G84" s="31" t="n"/>
      <c r="H84" s="32" t="str">
        <f>IF(A84="","",IF(I84="Paid",J84,IF(G84&lt;&gt;"",G84,F84)))</f>
        <v/>
      </c>
      <c r="I84" s="27" t="n"/>
      <c r="J84" s="31" t="n"/>
      <c r="K84" s="33" t="n"/>
      <c r="L84" s="30" t="str">
        <f>IF(A84="","",IF(I84="Paid",E84,IF(I84="Cancelled",0,E84*K84)))</f>
        <v/>
      </c>
      <c r="M84" s="34" t="str">
        <f>IF(A84="","",IF(I84="Paid",MAX(0,J84-F84),IF(TODAY()&gt;F84,TODAY()-F84,0)))</f>
        <v/>
      </c>
      <c r="N84" s="28" t="n"/>
    </row>
    <row r="85">
      <c r="A85" s="27" t="n"/>
      <c r="B85" s="28" t="n"/>
      <c r="C85" s="29" t="n"/>
      <c r="D85" s="29" t="n"/>
      <c r="E85" s="30" t="str">
        <f>IF(C85="","",MAX(0,C85-D85))</f>
        <v/>
      </c>
      <c r="F85" s="31" t="n"/>
      <c r="G85" s="31" t="n"/>
      <c r="H85" s="32" t="str">
        <f>IF(A85="","",IF(I85="Paid",J85,IF(G85&lt;&gt;"",G85,F85)))</f>
        <v/>
      </c>
      <c r="I85" s="27" t="n"/>
      <c r="J85" s="31" t="n"/>
      <c r="K85" s="33" t="n"/>
      <c r="L85" s="30" t="str">
        <f>IF(A85="","",IF(I85="Paid",E85,IF(I85="Cancelled",0,E85*K85)))</f>
        <v/>
      </c>
      <c r="M85" s="34" t="str">
        <f>IF(A85="","",IF(I85="Paid",MAX(0,J85-F85),IF(TODAY()&gt;F85,TODAY()-F85,0)))</f>
        <v/>
      </c>
      <c r="N85" s="28" t="n"/>
    </row>
    <row r="86">
      <c r="A86" s="27" t="n"/>
      <c r="B86" s="28" t="n"/>
      <c r="C86" s="29" t="n"/>
      <c r="D86" s="29" t="n"/>
      <c r="E86" s="30" t="str">
        <f>IF(C86="","",MAX(0,C86-D86))</f>
        <v/>
      </c>
      <c r="F86" s="31" t="n"/>
      <c r="G86" s="31" t="n"/>
      <c r="H86" s="32" t="str">
        <f>IF(A86="","",IF(I86="Paid",J86,IF(G86&lt;&gt;"",G86,F86)))</f>
        <v/>
      </c>
      <c r="I86" s="27" t="n"/>
      <c r="J86" s="31" t="n"/>
      <c r="K86" s="33" t="n"/>
      <c r="L86" s="30" t="str">
        <f>IF(A86="","",IF(I86="Paid",E86,IF(I86="Cancelled",0,E86*K86)))</f>
        <v/>
      </c>
      <c r="M86" s="34" t="str">
        <f>IF(A86="","",IF(I86="Paid",MAX(0,J86-F86),IF(TODAY()&gt;F86,TODAY()-F86,0)))</f>
        <v/>
      </c>
      <c r="N86" s="28" t="n"/>
    </row>
    <row r="87">
      <c r="A87" s="27" t="n"/>
      <c r="B87" s="28" t="n"/>
      <c r="C87" s="29" t="n"/>
      <c r="D87" s="29" t="n"/>
      <c r="E87" s="30" t="str">
        <f>IF(C87="","",MAX(0,C87-D87))</f>
        <v/>
      </c>
      <c r="F87" s="31" t="n"/>
      <c r="G87" s="31" t="n"/>
      <c r="H87" s="32" t="str">
        <f>IF(A87="","",IF(I87="Paid",J87,IF(G87&lt;&gt;"",G87,F87)))</f>
        <v/>
      </c>
      <c r="I87" s="27" t="n"/>
      <c r="J87" s="31" t="n"/>
      <c r="K87" s="33" t="n"/>
      <c r="L87" s="30" t="str">
        <f>IF(A87="","",IF(I87="Paid",E87,IF(I87="Cancelled",0,E87*K87)))</f>
        <v/>
      </c>
      <c r="M87" s="34" t="str">
        <f>IF(A87="","",IF(I87="Paid",MAX(0,J87-F87),IF(TODAY()&gt;F87,TODAY()-F87,0)))</f>
        <v/>
      </c>
      <c r="N87" s="28" t="n"/>
    </row>
    <row r="88">
      <c r="A88" s="27" t="n"/>
      <c r="B88" s="28" t="n"/>
      <c r="C88" s="29" t="n"/>
      <c r="D88" s="29" t="n"/>
      <c r="E88" s="30" t="str">
        <f>IF(C88="","",MAX(0,C88-D88))</f>
        <v/>
      </c>
      <c r="F88" s="31" t="n"/>
      <c r="G88" s="31" t="n"/>
      <c r="H88" s="32" t="str">
        <f>IF(A88="","",IF(I88="Paid",J88,IF(G88&lt;&gt;"",G88,F88)))</f>
        <v/>
      </c>
      <c r="I88" s="27" t="n"/>
      <c r="J88" s="31" t="n"/>
      <c r="K88" s="33" t="n"/>
      <c r="L88" s="30" t="str">
        <f>IF(A88="","",IF(I88="Paid",E88,IF(I88="Cancelled",0,E88*K88)))</f>
        <v/>
      </c>
      <c r="M88" s="34" t="str">
        <f>IF(A88="","",IF(I88="Paid",MAX(0,J88-F88),IF(TODAY()&gt;F88,TODAY()-F88,0)))</f>
        <v/>
      </c>
      <c r="N88" s="28" t="n"/>
    </row>
    <row r="89">
      <c r="A89" s="27" t="n"/>
      <c r="B89" s="28" t="n"/>
      <c r="C89" s="29" t="n"/>
      <c r="D89" s="29" t="n"/>
      <c r="E89" s="30" t="str">
        <f>IF(C89="","",MAX(0,C89-D89))</f>
        <v/>
      </c>
      <c r="F89" s="31" t="n"/>
      <c r="G89" s="31" t="n"/>
      <c r="H89" s="32" t="str">
        <f>IF(A89="","",IF(I89="Paid",J89,IF(G89&lt;&gt;"",G89,F89)))</f>
        <v/>
      </c>
      <c r="I89" s="27" t="n"/>
      <c r="J89" s="31" t="n"/>
      <c r="K89" s="33" t="n"/>
      <c r="L89" s="30" t="str">
        <f>IF(A89="","",IF(I89="Paid",E89,IF(I89="Cancelled",0,E89*K89)))</f>
        <v/>
      </c>
      <c r="M89" s="34" t="str">
        <f>IF(A89="","",IF(I89="Paid",MAX(0,J89-F89),IF(TODAY()&gt;F89,TODAY()-F89,0)))</f>
        <v/>
      </c>
      <c r="N89" s="28" t="n"/>
    </row>
    <row r="90">
      <c r="A90" s="27" t="n"/>
      <c r="B90" s="28" t="n"/>
      <c r="C90" s="29" t="n"/>
      <c r="D90" s="29" t="n"/>
      <c r="E90" s="30" t="str">
        <f>IF(C90="","",MAX(0,C90-D90))</f>
        <v/>
      </c>
      <c r="F90" s="31" t="n"/>
      <c r="G90" s="31" t="n"/>
      <c r="H90" s="32" t="str">
        <f>IF(A90="","",IF(I90="Paid",J90,IF(G90&lt;&gt;"",G90,F90)))</f>
        <v/>
      </c>
      <c r="I90" s="27" t="n"/>
      <c r="J90" s="31" t="n"/>
      <c r="K90" s="33" t="n"/>
      <c r="L90" s="30" t="str">
        <f>IF(A90="","",IF(I90="Paid",E90,IF(I90="Cancelled",0,E90*K90)))</f>
        <v/>
      </c>
      <c r="M90" s="34" t="str">
        <f>IF(A90="","",IF(I90="Paid",MAX(0,J90-F90),IF(TODAY()&gt;F90,TODAY()-F90,0)))</f>
        <v/>
      </c>
      <c r="N90" s="28" t="n"/>
    </row>
    <row r="91">
      <c r="A91" s="27" t="n"/>
      <c r="B91" s="28" t="n"/>
      <c r="C91" s="29" t="n"/>
      <c r="D91" s="29" t="n"/>
      <c r="E91" s="30" t="str">
        <f>IF(C91="","",MAX(0,C91-D91))</f>
        <v/>
      </c>
      <c r="F91" s="31" t="n"/>
      <c r="G91" s="31" t="n"/>
      <c r="H91" s="32" t="str">
        <f>IF(A91="","",IF(I91="Paid",J91,IF(G91&lt;&gt;"",G91,F91)))</f>
        <v/>
      </c>
      <c r="I91" s="27" t="n"/>
      <c r="J91" s="31" t="n"/>
      <c r="K91" s="33" t="n"/>
      <c r="L91" s="30" t="str">
        <f>IF(A91="","",IF(I91="Paid",E91,IF(I91="Cancelled",0,E91*K91)))</f>
        <v/>
      </c>
      <c r="M91" s="34" t="str">
        <f>IF(A91="","",IF(I91="Paid",MAX(0,J91-F91),IF(TODAY()&gt;F91,TODAY()-F91,0)))</f>
        <v/>
      </c>
      <c r="N91" s="28" t="n"/>
    </row>
    <row r="92">
      <c r="A92" s="27" t="n"/>
      <c r="B92" s="28" t="n"/>
      <c r="C92" s="29" t="n"/>
      <c r="D92" s="29" t="n"/>
      <c r="E92" s="30" t="str">
        <f>IF(C92="","",MAX(0,C92-D92))</f>
        <v/>
      </c>
      <c r="F92" s="31" t="n"/>
      <c r="G92" s="31" t="n"/>
      <c r="H92" s="32" t="str">
        <f>IF(A92="","",IF(I92="Paid",J92,IF(G92&lt;&gt;"",G92,F92)))</f>
        <v/>
      </c>
      <c r="I92" s="27" t="n"/>
      <c r="J92" s="31" t="n"/>
      <c r="K92" s="33" t="n"/>
      <c r="L92" s="30" t="str">
        <f>IF(A92="","",IF(I92="Paid",E92,IF(I92="Cancelled",0,E92*K92)))</f>
        <v/>
      </c>
      <c r="M92" s="34" t="str">
        <f>IF(A92="","",IF(I92="Paid",MAX(0,J92-F92),IF(TODAY()&gt;F92,TODAY()-F92,0)))</f>
        <v/>
      </c>
      <c r="N92" s="28" t="n"/>
    </row>
    <row r="93">
      <c r="A93" s="27" t="n"/>
      <c r="B93" s="28" t="n"/>
      <c r="C93" s="29" t="n"/>
      <c r="D93" s="29" t="n"/>
      <c r="E93" s="30" t="str">
        <f>IF(C93="","",MAX(0,C93-D93))</f>
        <v/>
      </c>
      <c r="F93" s="31" t="n"/>
      <c r="G93" s="31" t="n"/>
      <c r="H93" s="32" t="str">
        <f>IF(A93="","",IF(I93="Paid",J93,IF(G93&lt;&gt;"",G93,F93)))</f>
        <v/>
      </c>
      <c r="I93" s="27" t="n"/>
      <c r="J93" s="31" t="n"/>
      <c r="K93" s="33" t="n"/>
      <c r="L93" s="30" t="str">
        <f>IF(A93="","",IF(I93="Paid",E93,IF(I93="Cancelled",0,E93*K93)))</f>
        <v/>
      </c>
      <c r="M93" s="34" t="str">
        <f>IF(A93="","",IF(I93="Paid",MAX(0,J93-F93),IF(TODAY()&gt;F93,TODAY()-F93,0)))</f>
        <v/>
      </c>
      <c r="N93" s="28" t="n"/>
    </row>
    <row r="94">
      <c r="A94" s="27" t="n"/>
      <c r="B94" s="28" t="n"/>
      <c r="C94" s="29" t="n"/>
      <c r="D94" s="29" t="n"/>
      <c r="E94" s="30" t="str">
        <f>IF(C94="","",MAX(0,C94-D94))</f>
        <v/>
      </c>
      <c r="F94" s="31" t="n"/>
      <c r="G94" s="31" t="n"/>
      <c r="H94" s="32" t="str">
        <f>IF(A94="","",IF(I94="Paid",J94,IF(G94&lt;&gt;"",G94,F94)))</f>
        <v/>
      </c>
      <c r="I94" s="27" t="n"/>
      <c r="J94" s="31" t="n"/>
      <c r="K94" s="33" t="n"/>
      <c r="L94" s="30" t="str">
        <f>IF(A94="","",IF(I94="Paid",E94,IF(I94="Cancelled",0,E94*K94)))</f>
        <v/>
      </c>
      <c r="M94" s="34" t="str">
        <f>IF(A94="","",IF(I94="Paid",MAX(0,J94-F94),IF(TODAY()&gt;F94,TODAY()-F94,0)))</f>
        <v/>
      </c>
      <c r="N94" s="28" t="n"/>
    </row>
    <row r="95">
      <c r="A95" s="27" t="n"/>
      <c r="B95" s="28" t="n"/>
      <c r="C95" s="29" t="n"/>
      <c r="D95" s="29" t="n"/>
      <c r="E95" s="30" t="str">
        <f>IF(C95="","",MAX(0,C95-D95))</f>
        <v/>
      </c>
      <c r="F95" s="31" t="n"/>
      <c r="G95" s="31" t="n"/>
      <c r="H95" s="32" t="str">
        <f>IF(A95="","",IF(I95="Paid",J95,IF(G95&lt;&gt;"",G95,F95)))</f>
        <v/>
      </c>
      <c r="I95" s="27" t="n"/>
      <c r="J95" s="31" t="n"/>
      <c r="K95" s="33" t="n"/>
      <c r="L95" s="30" t="str">
        <f>IF(A95="","",IF(I95="Paid",E95,IF(I95="Cancelled",0,E95*K95)))</f>
        <v/>
      </c>
      <c r="M95" s="34" t="str">
        <f>IF(A95="","",IF(I95="Paid",MAX(0,J95-F95),IF(TODAY()&gt;F95,TODAY()-F95,0)))</f>
        <v/>
      </c>
      <c r="N95" s="28" t="n"/>
    </row>
    <row r="96">
      <c r="A96" s="27" t="n"/>
      <c r="B96" s="28" t="n"/>
      <c r="C96" s="29" t="n"/>
      <c r="D96" s="29" t="n"/>
      <c r="E96" s="30" t="str">
        <f>IF(C96="","",MAX(0,C96-D96))</f>
        <v/>
      </c>
      <c r="F96" s="31" t="n"/>
      <c r="G96" s="31" t="n"/>
      <c r="H96" s="32" t="str">
        <f>IF(A96="","",IF(I96="Paid",J96,IF(G96&lt;&gt;"",G96,F96)))</f>
        <v/>
      </c>
      <c r="I96" s="27" t="n"/>
      <c r="J96" s="31" t="n"/>
      <c r="K96" s="33" t="n"/>
      <c r="L96" s="30" t="str">
        <f>IF(A96="","",IF(I96="Paid",E96,IF(I96="Cancelled",0,E96*K96)))</f>
        <v/>
      </c>
      <c r="M96" s="34" t="str">
        <f>IF(A96="","",IF(I96="Paid",MAX(0,J96-F96),IF(TODAY()&gt;F96,TODAY()-F96,0)))</f>
        <v/>
      </c>
      <c r="N96" s="28" t="n"/>
    </row>
    <row r="97">
      <c r="A97" s="27" t="n"/>
      <c r="B97" s="28" t="n"/>
      <c r="C97" s="29" t="n"/>
      <c r="D97" s="29" t="n"/>
      <c r="E97" s="30" t="str">
        <f>IF(C97="","",MAX(0,C97-D97))</f>
        <v/>
      </c>
      <c r="F97" s="31" t="n"/>
      <c r="G97" s="31" t="n"/>
      <c r="H97" s="32" t="str">
        <f>IF(A97="","",IF(I97="Paid",J97,IF(G97&lt;&gt;"",G97,F97)))</f>
        <v/>
      </c>
      <c r="I97" s="27" t="n"/>
      <c r="J97" s="31" t="n"/>
      <c r="K97" s="33" t="n"/>
      <c r="L97" s="30" t="str">
        <f>IF(A97="","",IF(I97="Paid",E97,IF(I97="Cancelled",0,E97*K97)))</f>
        <v/>
      </c>
      <c r="M97" s="34" t="str">
        <f>IF(A97="","",IF(I97="Paid",MAX(0,J97-F97),IF(TODAY()&gt;F97,TODAY()-F97,0)))</f>
        <v/>
      </c>
      <c r="N97" s="28" t="n"/>
    </row>
    <row r="98">
      <c r="A98" s="27" t="n"/>
      <c r="B98" s="28" t="n"/>
      <c r="C98" s="29" t="n"/>
      <c r="D98" s="29" t="n"/>
      <c r="E98" s="30" t="str">
        <f>IF(C98="","",MAX(0,C98-D98))</f>
        <v/>
      </c>
      <c r="F98" s="31" t="n"/>
      <c r="G98" s="31" t="n"/>
      <c r="H98" s="32" t="str">
        <f>IF(A98="","",IF(I98="Paid",J98,IF(G98&lt;&gt;"",G98,F98)))</f>
        <v/>
      </c>
      <c r="I98" s="27" t="n"/>
      <c r="J98" s="31" t="n"/>
      <c r="K98" s="33" t="n"/>
      <c r="L98" s="30" t="str">
        <f>IF(A98="","",IF(I98="Paid",E98,IF(I98="Cancelled",0,E98*K98)))</f>
        <v/>
      </c>
      <c r="M98" s="34" t="str">
        <f>IF(A98="","",IF(I98="Paid",MAX(0,J98-F98),IF(TODAY()&gt;F98,TODAY()-F98,0)))</f>
        <v/>
      </c>
      <c r="N98" s="28" t="n"/>
    </row>
    <row r="99">
      <c r="A99" s="27" t="n"/>
      <c r="B99" s="28" t="n"/>
      <c r="C99" s="29" t="n"/>
      <c r="D99" s="29" t="n"/>
      <c r="E99" s="30" t="str">
        <f>IF(C99="","",MAX(0,C99-D99))</f>
        <v/>
      </c>
      <c r="F99" s="31" t="n"/>
      <c r="G99" s="31" t="n"/>
      <c r="H99" s="32" t="str">
        <f>IF(A99="","",IF(I99="Paid",J99,IF(G99&lt;&gt;"",G99,F99)))</f>
        <v/>
      </c>
      <c r="I99" s="27" t="n"/>
      <c r="J99" s="31" t="n"/>
      <c r="K99" s="33" t="n"/>
      <c r="L99" s="30" t="str">
        <f>IF(A99="","",IF(I99="Paid",E99,IF(I99="Cancelled",0,E99*K99)))</f>
        <v/>
      </c>
      <c r="M99" s="34" t="str">
        <f>IF(A99="","",IF(I99="Paid",MAX(0,J99-F99),IF(TODAY()&gt;F99,TODAY()-F99,0)))</f>
        <v/>
      </c>
      <c r="N99" s="28" t="n"/>
    </row>
    <row r="100">
      <c r="A100" s="27" t="n"/>
      <c r="B100" s="28" t="n"/>
      <c r="C100" s="29" t="n"/>
      <c r="D100" s="29" t="n"/>
      <c r="E100" s="30" t="str">
        <f>IF(C100="","",MAX(0,C100-D100))</f>
        <v/>
      </c>
      <c r="F100" s="31" t="n"/>
      <c r="G100" s="31" t="n"/>
      <c r="H100" s="32" t="str">
        <f>IF(A100="","",IF(I100="Paid",J100,IF(G100&lt;&gt;"",G100,F100)))</f>
        <v/>
      </c>
      <c r="I100" s="27" t="n"/>
      <c r="J100" s="31" t="n"/>
      <c r="K100" s="33" t="n"/>
      <c r="L100" s="30" t="str">
        <f>IF(A100="","",IF(I100="Paid",E100,IF(I100="Cancelled",0,E100*K100)))</f>
        <v/>
      </c>
      <c r="M100" s="34" t="str">
        <f>IF(A100="","",IF(I100="Paid",MAX(0,J100-F100),IF(TODAY()&gt;F100,TODAY()-F100,0)))</f>
        <v/>
      </c>
      <c r="N100" s="28" t="n"/>
    </row>
    <row r="101">
      <c r="A101" s="27" t="n"/>
      <c r="B101" s="28" t="n"/>
      <c r="C101" s="29" t="n"/>
      <c r="D101" s="29" t="n"/>
      <c r="E101" s="30" t="str">
        <f>IF(C101="","",MAX(0,C101-D101))</f>
        <v/>
      </c>
      <c r="F101" s="31" t="n"/>
      <c r="G101" s="31" t="n"/>
      <c r="H101" s="32" t="str">
        <f>IF(A101="","",IF(I101="Paid",J101,IF(G101&lt;&gt;"",G101,F101)))</f>
        <v/>
      </c>
      <c r="I101" s="27" t="n"/>
      <c r="J101" s="31" t="n"/>
      <c r="K101" s="33" t="n"/>
      <c r="L101" s="30" t="str">
        <f>IF(A101="","",IF(I101="Paid",E101,IF(I101="Cancelled",0,E101*K101)))</f>
        <v/>
      </c>
      <c r="M101" s="34" t="str">
        <f>IF(A101="","",IF(I101="Paid",MAX(0,J101-F101),IF(TODAY()&gt;F101,TODAY()-F101,0)))</f>
        <v/>
      </c>
      <c r="N101" s="28" t="n"/>
    </row>
    <row r="102">
      <c r="A102" s="27" t="n"/>
      <c r="B102" s="28" t="n"/>
      <c r="C102" s="29" t="n"/>
      <c r="D102" s="29" t="n"/>
      <c r="E102" s="30" t="str">
        <f>IF(C102="","",MAX(0,C102-D102))</f>
        <v/>
      </c>
      <c r="F102" s="31" t="n"/>
      <c r="G102" s="31" t="n"/>
      <c r="H102" s="32" t="str">
        <f>IF(A102="","",IF(I102="Paid",J102,IF(G102&lt;&gt;"",G102,F102)))</f>
        <v/>
      </c>
      <c r="I102" s="27" t="n"/>
      <c r="J102" s="31" t="n"/>
      <c r="K102" s="33" t="n"/>
      <c r="L102" s="30" t="str">
        <f>IF(A102="","",IF(I102="Paid",E102,IF(I102="Cancelled",0,E102*K102)))</f>
        <v/>
      </c>
      <c r="M102" s="34" t="str">
        <f>IF(A102="","",IF(I102="Paid",MAX(0,J102-F102),IF(TODAY()&gt;F102,TODAY()-F102,0)))</f>
        <v/>
      </c>
      <c r="N102" s="28" t="n"/>
    </row>
    <row r="103">
      <c r="A103" s="27" t="n"/>
      <c r="B103" s="28" t="n"/>
      <c r="C103" s="29" t="n"/>
      <c r="D103" s="29" t="n"/>
      <c r="E103" s="30" t="str">
        <f>IF(C103="","",MAX(0,C103-D103))</f>
        <v/>
      </c>
      <c r="F103" s="31" t="n"/>
      <c r="G103" s="31" t="n"/>
      <c r="H103" s="32" t="str">
        <f>IF(A103="","",IF(I103="Paid",J103,IF(G103&lt;&gt;"",G103,F103)))</f>
        <v/>
      </c>
      <c r="I103" s="27" t="n"/>
      <c r="J103" s="31" t="n"/>
      <c r="K103" s="33" t="n"/>
      <c r="L103" s="30" t="str">
        <f>IF(A103="","",IF(I103="Paid",E103,IF(I103="Cancelled",0,E103*K103)))</f>
        <v/>
      </c>
      <c r="M103" s="34" t="str">
        <f>IF(A103="","",IF(I103="Paid",MAX(0,J103-F103),IF(TODAY()&gt;F103,TODAY()-F103,0)))</f>
        <v/>
      </c>
      <c r="N103" s="28" t="n"/>
    </row>
    <row r="104">
      <c r="A104" s="27" t="n"/>
      <c r="B104" s="28" t="n"/>
      <c r="C104" s="29" t="n"/>
      <c r="D104" s="29" t="n"/>
      <c r="E104" s="30" t="str">
        <f>IF(C104="","",MAX(0,C104-D104))</f>
        <v/>
      </c>
      <c r="F104" s="31" t="n"/>
      <c r="G104" s="31" t="n"/>
      <c r="H104" s="32" t="str">
        <f>IF(A104="","",IF(I104="Paid",J104,IF(G104&lt;&gt;"",G104,F104)))</f>
        <v/>
      </c>
      <c r="I104" s="27" t="n"/>
      <c r="J104" s="31" t="n"/>
      <c r="K104" s="33" t="n"/>
      <c r="L104" s="30" t="str">
        <f>IF(A104="","",IF(I104="Paid",E104,IF(I104="Cancelled",0,E104*K104)))</f>
        <v/>
      </c>
      <c r="M104" s="34" t="str">
        <f>IF(A104="","",IF(I104="Paid",MAX(0,J104-F104),IF(TODAY()&gt;F104,TODAY()-F104,0)))</f>
        <v/>
      </c>
      <c r="N104" s="28" t="n"/>
    </row>
    <row r="105">
      <c r="A105" s="27" t="n"/>
      <c r="B105" s="28" t="n"/>
      <c r="C105" s="29" t="n"/>
      <c r="D105" s="29" t="n"/>
      <c r="E105" s="30" t="str">
        <f>IF(C105="","",MAX(0,C105-D105))</f>
        <v/>
      </c>
      <c r="F105" s="31" t="n"/>
      <c r="G105" s="31" t="n"/>
      <c r="H105" s="32" t="str">
        <f>IF(A105="","",IF(I105="Paid",J105,IF(G105&lt;&gt;"",G105,F105)))</f>
        <v/>
      </c>
      <c r="I105" s="27" t="n"/>
      <c r="J105" s="31" t="n"/>
      <c r="K105" s="33" t="n"/>
      <c r="L105" s="30" t="str">
        <f>IF(A105="","",IF(I105="Paid",E105,IF(I105="Cancelled",0,E105*K105)))</f>
        <v/>
      </c>
      <c r="M105" s="34" t="str">
        <f>IF(A105="","",IF(I105="Paid",MAX(0,J105-F105),IF(TODAY()&gt;F105,TODAY()-F105,0)))</f>
        <v/>
      </c>
      <c r="N105" s="28" t="n"/>
    </row>
    <row r="106">
      <c r="A106" s="27" t="n"/>
      <c r="B106" s="28" t="n"/>
      <c r="C106" s="29" t="n"/>
      <c r="D106" s="29" t="n"/>
      <c r="E106" s="30" t="str">
        <f>IF(C106="","",MAX(0,C106-D106))</f>
        <v/>
      </c>
      <c r="F106" s="31" t="n"/>
      <c r="G106" s="31" t="n"/>
      <c r="H106" s="32" t="str">
        <f>IF(A106="","",IF(I106="Paid",J106,IF(G106&lt;&gt;"",G106,F106)))</f>
        <v/>
      </c>
      <c r="I106" s="27" t="n"/>
      <c r="J106" s="31" t="n"/>
      <c r="K106" s="33" t="n"/>
      <c r="L106" s="30" t="str">
        <f>IF(A106="","",IF(I106="Paid",E106,IF(I106="Cancelled",0,E106*K106)))</f>
        <v/>
      </c>
      <c r="M106" s="34" t="str">
        <f>IF(A106="","",IF(I106="Paid",MAX(0,J106-F106),IF(TODAY()&gt;F106,TODAY()-F106,0)))</f>
        <v/>
      </c>
      <c r="N106" s="28" t="n"/>
    </row>
  </sheetData>
  <autoFilter ref="A6:N106"/>
  <mergeCells count="2">
    <mergeCell ref="A2:N2"/>
    <mergeCell ref="A1:N1"/>
  </mergeCells>
  <conditionalFormatting sqref="M7:M106">
    <cfRule type="cellIs" priority="1" operator="greaterThan" dxfId="4">
      <formula>0</formula>
    </cfRule>
  </conditionalFormatting>
  <dataValidations count="2">
    <dataValidation sqref="I7:I106" showDropDown="0" showInputMessage="0" showErrorMessage="0" allowBlank="0" type="list">
      <formula1>"Scheduled,Delayed,Held,Paid,Cancelled"</formula1>
    </dataValidation>
    <dataValidation sqref="K7:K106" showDropDown="0" showInputMessage="0" showErrorMessage="0" allowBlank="0" type="decimal" operator="between">
      <formula1>0</formula1>
      <formula2>1</formula2>
    </dataValidation>
  </dataValidations>
  <printOptions horizontalCentered="1"/>
  <pageMargins left="0.25" right="0.25" top="0.4" bottom="0.4" header="0.5" footer="0.5"/>
  <pageSetup orientation="landscape" fitToHeight="0" fitToWidth="1"/>
  <headerFooter>
    <oddHeader/>
    <oddFooter>&amp;CPayout Delay Cash-Flow Early Warning Sheet&amp;RPage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8" customWidth="1" min="3" max="3"/>
    <col width="15" customWidth="1" min="4" max="4"/>
    <col width="15" customWidth="1" min="5" max="5"/>
    <col width="14" customWidth="1" min="6" max="6"/>
    <col width="14" customWidth="1" min="7" max="7"/>
    <col width="14" customWidth="1" min="8" max="8"/>
    <col width="17" customWidth="1" min="9" max="9"/>
    <col width="18" customWidth="1" min="10" max="10"/>
    <col width="30" customWidth="1" min="11" max="11"/>
  </cols>
  <sheetData>
    <row r="1" ht="34" customHeight="1">
      <c r="A1" s="1" t="inlineStr">
        <is>
          <t>Bills &amp; Obligations</t>
        </is>
      </c>
    </row>
    <row r="2" ht="30" customHeight="1">
      <c r="A2" s="2" t="inlineStr">
        <is>
          <t>Enter unpaid obligations only. Row 7 is an illustrative example; replace or delete it. Deferrable bills use the latest safe date in the forecast.</t>
        </is>
      </c>
    </row>
    <row r="3"/>
    <row r="4"/>
    <row r="5"/>
    <row r="6" ht="34" customHeight="1">
      <c r="A6" s="26" t="inlineStr">
        <is>
          <t>Bill ID</t>
        </is>
      </c>
      <c r="B6" s="26" t="inlineStr">
        <is>
          <t>Vendor / obligation</t>
        </is>
      </c>
      <c r="C6" s="26" t="inlineStr">
        <is>
          <t>Category</t>
        </is>
      </c>
      <c r="D6" s="26" t="inlineStr">
        <is>
          <t>Due date</t>
        </is>
      </c>
      <c r="E6" s="26" t="inlineStr">
        <is>
          <t>Amount ($)</t>
        </is>
      </c>
      <c r="F6" s="26" t="inlineStr">
        <is>
          <t>Status</t>
        </is>
      </c>
      <c r="G6" s="26" t="inlineStr">
        <is>
          <t>Priority</t>
        </is>
      </c>
      <c r="H6" s="26" t="inlineStr">
        <is>
          <t>Deferrable?</t>
        </is>
      </c>
      <c r="I6" s="26" t="inlineStr">
        <is>
          <t>Latest safe date</t>
        </is>
      </c>
      <c r="J6" s="26" t="inlineStr">
        <is>
          <t>Forecast payment date</t>
        </is>
      </c>
      <c r="K6" s="26" t="inlineStr">
        <is>
          <t>Notes</t>
        </is>
      </c>
    </row>
    <row r="7">
      <c r="A7" s="27" t="inlineStr">
        <is>
          <t>EX-BILL-001</t>
        </is>
      </c>
      <c r="B7" s="28" t="inlineStr">
        <is>
          <t>Inventory deposit</t>
        </is>
      </c>
      <c r="C7" s="27" t="inlineStr">
        <is>
          <t>Inventory</t>
        </is>
      </c>
      <c r="D7" s="31" t="n">
        <v>46314</v>
      </c>
      <c r="E7" s="29" t="n">
        <v>10000</v>
      </c>
      <c r="F7" s="27" t="inlineStr">
        <is>
          <t>Unpaid</t>
        </is>
      </c>
      <c r="G7" s="27" t="inlineStr">
        <is>
          <t>Essential</t>
        </is>
      </c>
      <c r="H7" s="27" t="inlineStr">
        <is>
          <t>No</t>
        </is>
      </c>
      <c r="I7" s="31" t="n"/>
      <c r="J7" s="32" t="n">
        <f>IF(A7="","",IF(F7="Paid","",IF(AND(H7="Yes",I7&lt;&gt;""),I7,D7)))</f>
        <v>46314</v>
      </c>
      <c r="K7" s="28" t="inlineStr">
        <is>
          <t>Illustrative row — replace or delete</t>
        </is>
      </c>
    </row>
    <row r="8">
      <c r="A8" s="27" t="n"/>
      <c r="B8" s="28" t="n"/>
      <c r="C8" s="27" t="n"/>
      <c r="D8" s="31" t="n"/>
      <c r="E8" s="29" t="n"/>
      <c r="F8" s="27" t="n"/>
      <c r="G8" s="27" t="n"/>
      <c r="H8" s="27" t="n"/>
      <c r="I8" s="31" t="n"/>
      <c r="J8" s="32" t="str">
        <f>IF(A8="","",IF(F8="Paid","",IF(AND(H8="Yes",I8&lt;&gt;""),I8,D8)))</f>
        <v/>
      </c>
      <c r="K8" s="28" t="n"/>
    </row>
    <row r="9">
      <c r="A9" s="27" t="n"/>
      <c r="B9" s="28" t="n"/>
      <c r="C9" s="27" t="n"/>
      <c r="D9" s="31" t="n"/>
      <c r="E9" s="29" t="n"/>
      <c r="F9" s="27" t="n"/>
      <c r="G9" s="27" t="n"/>
      <c r="H9" s="27" t="n"/>
      <c r="I9" s="31" t="n"/>
      <c r="J9" s="32" t="str">
        <f>IF(A9="","",IF(F9="Paid","",IF(AND(H9="Yes",I9&lt;&gt;""),I9,D9)))</f>
        <v/>
      </c>
      <c r="K9" s="28" t="n"/>
    </row>
    <row r="10">
      <c r="A10" s="27" t="n"/>
      <c r="B10" s="28" t="n"/>
      <c r="C10" s="27" t="n"/>
      <c r="D10" s="31" t="n"/>
      <c r="E10" s="29" t="n"/>
      <c r="F10" s="27" t="n"/>
      <c r="G10" s="27" t="n"/>
      <c r="H10" s="27" t="n"/>
      <c r="I10" s="31" t="n"/>
      <c r="J10" s="32" t="str">
        <f>IF(A10="","",IF(F10="Paid","",IF(AND(H10="Yes",I10&lt;&gt;""),I10,D10)))</f>
        <v/>
      </c>
      <c r="K10" s="28" t="n"/>
    </row>
    <row r="11">
      <c r="A11" s="27" t="n"/>
      <c r="B11" s="28" t="n"/>
      <c r="C11" s="27" t="n"/>
      <c r="D11" s="31" t="n"/>
      <c r="E11" s="29" t="n"/>
      <c r="F11" s="27" t="n"/>
      <c r="G11" s="27" t="n"/>
      <c r="H11" s="27" t="n"/>
      <c r="I11" s="31" t="n"/>
      <c r="J11" s="32" t="str">
        <f>IF(A11="","",IF(F11="Paid","",IF(AND(H11="Yes",I11&lt;&gt;""),I11,D11)))</f>
        <v/>
      </c>
      <c r="K11" s="28" t="n"/>
    </row>
    <row r="12">
      <c r="A12" s="27" t="n"/>
      <c r="B12" s="28" t="n"/>
      <c r="C12" s="27" t="n"/>
      <c r="D12" s="31" t="n"/>
      <c r="E12" s="29" t="n"/>
      <c r="F12" s="27" t="n"/>
      <c r="G12" s="27" t="n"/>
      <c r="H12" s="27" t="n"/>
      <c r="I12" s="31" t="n"/>
      <c r="J12" s="32" t="str">
        <f>IF(A12="","",IF(F12="Paid","",IF(AND(H12="Yes",I12&lt;&gt;""),I12,D12)))</f>
        <v/>
      </c>
      <c r="K12" s="28" t="n"/>
    </row>
    <row r="13">
      <c r="A13" s="27" t="n"/>
      <c r="B13" s="28" t="n"/>
      <c r="C13" s="27" t="n"/>
      <c r="D13" s="31" t="n"/>
      <c r="E13" s="29" t="n"/>
      <c r="F13" s="27" t="n"/>
      <c r="G13" s="27" t="n"/>
      <c r="H13" s="27" t="n"/>
      <c r="I13" s="31" t="n"/>
      <c r="J13" s="32" t="str">
        <f>IF(A13="","",IF(F13="Paid","",IF(AND(H13="Yes",I13&lt;&gt;""),I13,D13)))</f>
        <v/>
      </c>
      <c r="K13" s="28" t="n"/>
    </row>
    <row r="14">
      <c r="A14" s="27" t="n"/>
      <c r="B14" s="28" t="n"/>
      <c r="C14" s="27" t="n"/>
      <c r="D14" s="31" t="n"/>
      <c r="E14" s="29" t="n"/>
      <c r="F14" s="27" t="n"/>
      <c r="G14" s="27" t="n"/>
      <c r="H14" s="27" t="n"/>
      <c r="I14" s="31" t="n"/>
      <c r="J14" s="32" t="str">
        <f>IF(A14="","",IF(F14="Paid","",IF(AND(H14="Yes",I14&lt;&gt;""),I14,D14)))</f>
        <v/>
      </c>
      <c r="K14" s="28" t="n"/>
    </row>
    <row r="15">
      <c r="A15" s="27" t="n"/>
      <c r="B15" s="28" t="n"/>
      <c r="C15" s="27" t="n"/>
      <c r="D15" s="31" t="n"/>
      <c r="E15" s="29" t="n"/>
      <c r="F15" s="27" t="n"/>
      <c r="G15" s="27" t="n"/>
      <c r="H15" s="27" t="n"/>
      <c r="I15" s="31" t="n"/>
      <c r="J15" s="32" t="str">
        <f>IF(A15="","",IF(F15="Paid","",IF(AND(H15="Yes",I15&lt;&gt;""),I15,D15)))</f>
        <v/>
      </c>
      <c r="K15" s="28" t="n"/>
    </row>
    <row r="16">
      <c r="A16" s="27" t="n"/>
      <c r="B16" s="28" t="n"/>
      <c r="C16" s="27" t="n"/>
      <c r="D16" s="31" t="n"/>
      <c r="E16" s="29" t="n"/>
      <c r="F16" s="27" t="n"/>
      <c r="G16" s="27" t="n"/>
      <c r="H16" s="27" t="n"/>
      <c r="I16" s="31" t="n"/>
      <c r="J16" s="32" t="str">
        <f>IF(A16="","",IF(F16="Paid","",IF(AND(H16="Yes",I16&lt;&gt;""),I16,D16)))</f>
        <v/>
      </c>
      <c r="K16" s="28" t="n"/>
    </row>
    <row r="17">
      <c r="A17" s="27" t="n"/>
      <c r="B17" s="28" t="n"/>
      <c r="C17" s="27" t="n"/>
      <c r="D17" s="31" t="n"/>
      <c r="E17" s="29" t="n"/>
      <c r="F17" s="27" t="n"/>
      <c r="G17" s="27" t="n"/>
      <c r="H17" s="27" t="n"/>
      <c r="I17" s="31" t="n"/>
      <c r="J17" s="32" t="str">
        <f>IF(A17="","",IF(F17="Paid","",IF(AND(H17="Yes",I17&lt;&gt;""),I17,D17)))</f>
        <v/>
      </c>
      <c r="K17" s="28" t="n"/>
    </row>
    <row r="18">
      <c r="A18" s="27" t="n"/>
      <c r="B18" s="28" t="n"/>
      <c r="C18" s="27" t="n"/>
      <c r="D18" s="31" t="n"/>
      <c r="E18" s="29" t="n"/>
      <c r="F18" s="27" t="n"/>
      <c r="G18" s="27" t="n"/>
      <c r="H18" s="27" t="n"/>
      <c r="I18" s="31" t="n"/>
      <c r="J18" s="32" t="str">
        <f>IF(A18="","",IF(F18="Paid","",IF(AND(H18="Yes",I18&lt;&gt;""),I18,D18)))</f>
        <v/>
      </c>
      <c r="K18" s="28" t="n"/>
    </row>
    <row r="19">
      <c r="A19" s="27" t="n"/>
      <c r="B19" s="28" t="n"/>
      <c r="C19" s="27" t="n"/>
      <c r="D19" s="31" t="n"/>
      <c r="E19" s="29" t="n"/>
      <c r="F19" s="27" t="n"/>
      <c r="G19" s="27" t="n"/>
      <c r="H19" s="27" t="n"/>
      <c r="I19" s="31" t="n"/>
      <c r="J19" s="32" t="str">
        <f>IF(A19="","",IF(F19="Paid","",IF(AND(H19="Yes",I19&lt;&gt;""),I19,D19)))</f>
        <v/>
      </c>
      <c r="K19" s="28" t="n"/>
    </row>
    <row r="20">
      <c r="A20" s="27" t="n"/>
      <c r="B20" s="28" t="n"/>
      <c r="C20" s="27" t="n"/>
      <c r="D20" s="31" t="n"/>
      <c r="E20" s="29" t="n"/>
      <c r="F20" s="27" t="n"/>
      <c r="G20" s="27" t="n"/>
      <c r="H20" s="27" t="n"/>
      <c r="I20" s="31" t="n"/>
      <c r="J20" s="32" t="str">
        <f>IF(A20="","",IF(F20="Paid","",IF(AND(H20="Yes",I20&lt;&gt;""),I20,D20)))</f>
        <v/>
      </c>
      <c r="K20" s="28" t="n"/>
    </row>
    <row r="21">
      <c r="A21" s="27" t="n"/>
      <c r="B21" s="28" t="n"/>
      <c r="C21" s="27" t="n"/>
      <c r="D21" s="31" t="n"/>
      <c r="E21" s="29" t="n"/>
      <c r="F21" s="27" t="n"/>
      <c r="G21" s="27" t="n"/>
      <c r="H21" s="27" t="n"/>
      <c r="I21" s="31" t="n"/>
      <c r="J21" s="32" t="str">
        <f>IF(A21="","",IF(F21="Paid","",IF(AND(H21="Yes",I21&lt;&gt;""),I21,D21)))</f>
        <v/>
      </c>
      <c r="K21" s="28" t="n"/>
    </row>
    <row r="22">
      <c r="A22" s="27" t="n"/>
      <c r="B22" s="28" t="n"/>
      <c r="C22" s="27" t="n"/>
      <c r="D22" s="31" t="n"/>
      <c r="E22" s="29" t="n"/>
      <c r="F22" s="27" t="n"/>
      <c r="G22" s="27" t="n"/>
      <c r="H22" s="27" t="n"/>
      <c r="I22" s="31" t="n"/>
      <c r="J22" s="32" t="str">
        <f>IF(A22="","",IF(F22="Paid","",IF(AND(H22="Yes",I22&lt;&gt;""),I22,D22)))</f>
        <v/>
      </c>
      <c r="K22" s="28" t="n"/>
    </row>
    <row r="23">
      <c r="A23" s="27" t="n"/>
      <c r="B23" s="28" t="n"/>
      <c r="C23" s="27" t="n"/>
      <c r="D23" s="31" t="n"/>
      <c r="E23" s="29" t="n"/>
      <c r="F23" s="27" t="n"/>
      <c r="G23" s="27" t="n"/>
      <c r="H23" s="27" t="n"/>
      <c r="I23" s="31" t="n"/>
      <c r="J23" s="32" t="str">
        <f>IF(A23="","",IF(F23="Paid","",IF(AND(H23="Yes",I23&lt;&gt;""),I23,D23)))</f>
        <v/>
      </c>
      <c r="K23" s="28" t="n"/>
    </row>
    <row r="24">
      <c r="A24" s="27" t="n"/>
      <c r="B24" s="28" t="n"/>
      <c r="C24" s="27" t="n"/>
      <c r="D24" s="31" t="n"/>
      <c r="E24" s="29" t="n"/>
      <c r="F24" s="27" t="n"/>
      <c r="G24" s="27" t="n"/>
      <c r="H24" s="27" t="n"/>
      <c r="I24" s="31" t="n"/>
      <c r="J24" s="32" t="str">
        <f>IF(A24="","",IF(F24="Paid","",IF(AND(H24="Yes",I24&lt;&gt;""),I24,D24)))</f>
        <v/>
      </c>
      <c r="K24" s="28" t="n"/>
    </row>
    <row r="25">
      <c r="A25" s="27" t="n"/>
      <c r="B25" s="28" t="n"/>
      <c r="C25" s="27" t="n"/>
      <c r="D25" s="31" t="n"/>
      <c r="E25" s="29" t="n"/>
      <c r="F25" s="27" t="n"/>
      <c r="G25" s="27" t="n"/>
      <c r="H25" s="27" t="n"/>
      <c r="I25" s="31" t="n"/>
      <c r="J25" s="32" t="str">
        <f>IF(A25="","",IF(F25="Paid","",IF(AND(H25="Yes",I25&lt;&gt;""),I25,D25)))</f>
        <v/>
      </c>
      <c r="K25" s="28" t="n"/>
    </row>
    <row r="26">
      <c r="A26" s="27" t="n"/>
      <c r="B26" s="28" t="n"/>
      <c r="C26" s="27" t="n"/>
      <c r="D26" s="31" t="n"/>
      <c r="E26" s="29" t="n"/>
      <c r="F26" s="27" t="n"/>
      <c r="G26" s="27" t="n"/>
      <c r="H26" s="27" t="n"/>
      <c r="I26" s="31" t="n"/>
      <c r="J26" s="32" t="str">
        <f>IF(A26="","",IF(F26="Paid","",IF(AND(H26="Yes",I26&lt;&gt;""),I26,D26)))</f>
        <v/>
      </c>
      <c r="K26" s="28" t="n"/>
    </row>
    <row r="27">
      <c r="A27" s="27" t="n"/>
      <c r="B27" s="28" t="n"/>
      <c r="C27" s="27" t="n"/>
      <c r="D27" s="31" t="n"/>
      <c r="E27" s="29" t="n"/>
      <c r="F27" s="27" t="n"/>
      <c r="G27" s="27" t="n"/>
      <c r="H27" s="27" t="n"/>
      <c r="I27" s="31" t="n"/>
      <c r="J27" s="32" t="str">
        <f>IF(A27="","",IF(F27="Paid","",IF(AND(H27="Yes",I27&lt;&gt;""),I27,D27)))</f>
        <v/>
      </c>
      <c r="K27" s="28" t="n"/>
    </row>
    <row r="28">
      <c r="A28" s="27" t="n"/>
      <c r="B28" s="28" t="n"/>
      <c r="C28" s="27" t="n"/>
      <c r="D28" s="31" t="n"/>
      <c r="E28" s="29" t="n"/>
      <c r="F28" s="27" t="n"/>
      <c r="G28" s="27" t="n"/>
      <c r="H28" s="27" t="n"/>
      <c r="I28" s="31" t="n"/>
      <c r="J28" s="32" t="str">
        <f>IF(A28="","",IF(F28="Paid","",IF(AND(H28="Yes",I28&lt;&gt;""),I28,D28)))</f>
        <v/>
      </c>
      <c r="K28" s="28" t="n"/>
    </row>
    <row r="29">
      <c r="A29" s="27" t="n"/>
      <c r="B29" s="28" t="n"/>
      <c r="C29" s="27" t="n"/>
      <c r="D29" s="31" t="n"/>
      <c r="E29" s="29" t="n"/>
      <c r="F29" s="27" t="n"/>
      <c r="G29" s="27" t="n"/>
      <c r="H29" s="27" t="n"/>
      <c r="I29" s="31" t="n"/>
      <c r="J29" s="32" t="str">
        <f>IF(A29="","",IF(F29="Paid","",IF(AND(H29="Yes",I29&lt;&gt;""),I29,D29)))</f>
        <v/>
      </c>
      <c r="K29" s="28" t="n"/>
    </row>
    <row r="30">
      <c r="A30" s="27" t="n"/>
      <c r="B30" s="28" t="n"/>
      <c r="C30" s="27" t="n"/>
      <c r="D30" s="31" t="n"/>
      <c r="E30" s="29" t="n"/>
      <c r="F30" s="27" t="n"/>
      <c r="G30" s="27" t="n"/>
      <c r="H30" s="27" t="n"/>
      <c r="I30" s="31" t="n"/>
      <c r="J30" s="32" t="str">
        <f>IF(A30="","",IF(F30="Paid","",IF(AND(H30="Yes",I30&lt;&gt;""),I30,D30)))</f>
        <v/>
      </c>
      <c r="K30" s="28" t="n"/>
    </row>
    <row r="31">
      <c r="A31" s="27" t="n"/>
      <c r="B31" s="28" t="n"/>
      <c r="C31" s="27" t="n"/>
      <c r="D31" s="31" t="n"/>
      <c r="E31" s="29" t="n"/>
      <c r="F31" s="27" t="n"/>
      <c r="G31" s="27" t="n"/>
      <c r="H31" s="27" t="n"/>
      <c r="I31" s="31" t="n"/>
      <c r="J31" s="32" t="str">
        <f>IF(A31="","",IF(F31="Paid","",IF(AND(H31="Yes",I31&lt;&gt;""),I31,D31)))</f>
        <v/>
      </c>
      <c r="K31" s="28" t="n"/>
    </row>
    <row r="32">
      <c r="A32" s="27" t="n"/>
      <c r="B32" s="28" t="n"/>
      <c r="C32" s="27" t="n"/>
      <c r="D32" s="31" t="n"/>
      <c r="E32" s="29" t="n"/>
      <c r="F32" s="27" t="n"/>
      <c r="G32" s="27" t="n"/>
      <c r="H32" s="27" t="n"/>
      <c r="I32" s="31" t="n"/>
      <c r="J32" s="32" t="str">
        <f>IF(A32="","",IF(F32="Paid","",IF(AND(H32="Yes",I32&lt;&gt;""),I32,D32)))</f>
        <v/>
      </c>
      <c r="K32" s="28" t="n"/>
    </row>
    <row r="33">
      <c r="A33" s="27" t="n"/>
      <c r="B33" s="28" t="n"/>
      <c r="C33" s="27" t="n"/>
      <c r="D33" s="31" t="n"/>
      <c r="E33" s="29" t="n"/>
      <c r="F33" s="27" t="n"/>
      <c r="G33" s="27" t="n"/>
      <c r="H33" s="27" t="n"/>
      <c r="I33" s="31" t="n"/>
      <c r="J33" s="32" t="str">
        <f>IF(A33="","",IF(F33="Paid","",IF(AND(H33="Yes",I33&lt;&gt;""),I33,D33)))</f>
        <v/>
      </c>
      <c r="K33" s="28" t="n"/>
    </row>
    <row r="34">
      <c r="A34" s="27" t="n"/>
      <c r="B34" s="28" t="n"/>
      <c r="C34" s="27" t="n"/>
      <c r="D34" s="31" t="n"/>
      <c r="E34" s="29" t="n"/>
      <c r="F34" s="27" t="n"/>
      <c r="G34" s="27" t="n"/>
      <c r="H34" s="27" t="n"/>
      <c r="I34" s="31" t="n"/>
      <c r="J34" s="32" t="str">
        <f>IF(A34="","",IF(F34="Paid","",IF(AND(H34="Yes",I34&lt;&gt;""),I34,D34)))</f>
        <v/>
      </c>
      <c r="K34" s="28" t="n"/>
    </row>
    <row r="35">
      <c r="A35" s="27" t="n"/>
      <c r="B35" s="28" t="n"/>
      <c r="C35" s="27" t="n"/>
      <c r="D35" s="31" t="n"/>
      <c r="E35" s="29" t="n"/>
      <c r="F35" s="27" t="n"/>
      <c r="G35" s="27" t="n"/>
      <c r="H35" s="27" t="n"/>
      <c r="I35" s="31" t="n"/>
      <c r="J35" s="32" t="str">
        <f>IF(A35="","",IF(F35="Paid","",IF(AND(H35="Yes",I35&lt;&gt;""),I35,D35)))</f>
        <v/>
      </c>
      <c r="K35" s="28" t="n"/>
    </row>
    <row r="36">
      <c r="A36" s="27" t="n"/>
      <c r="B36" s="28" t="n"/>
      <c r="C36" s="27" t="n"/>
      <c r="D36" s="31" t="n"/>
      <c r="E36" s="29" t="n"/>
      <c r="F36" s="27" t="n"/>
      <c r="G36" s="27" t="n"/>
      <c r="H36" s="27" t="n"/>
      <c r="I36" s="31" t="n"/>
      <c r="J36" s="32" t="str">
        <f>IF(A36="","",IF(F36="Paid","",IF(AND(H36="Yes",I36&lt;&gt;""),I36,D36)))</f>
        <v/>
      </c>
      <c r="K36" s="28" t="n"/>
    </row>
    <row r="37">
      <c r="A37" s="27" t="n"/>
      <c r="B37" s="28" t="n"/>
      <c r="C37" s="27" t="n"/>
      <c r="D37" s="31" t="n"/>
      <c r="E37" s="29" t="n"/>
      <c r="F37" s="27" t="n"/>
      <c r="G37" s="27" t="n"/>
      <c r="H37" s="27" t="n"/>
      <c r="I37" s="31" t="n"/>
      <c r="J37" s="32" t="str">
        <f>IF(A37="","",IF(F37="Paid","",IF(AND(H37="Yes",I37&lt;&gt;""),I37,D37)))</f>
        <v/>
      </c>
      <c r="K37" s="28" t="n"/>
    </row>
    <row r="38">
      <c r="A38" s="27" t="n"/>
      <c r="B38" s="28" t="n"/>
      <c r="C38" s="27" t="n"/>
      <c r="D38" s="31" t="n"/>
      <c r="E38" s="29" t="n"/>
      <c r="F38" s="27" t="n"/>
      <c r="G38" s="27" t="n"/>
      <c r="H38" s="27" t="n"/>
      <c r="I38" s="31" t="n"/>
      <c r="J38" s="32" t="str">
        <f>IF(A38="","",IF(F38="Paid","",IF(AND(H38="Yes",I38&lt;&gt;""),I38,D38)))</f>
        <v/>
      </c>
      <c r="K38" s="28" t="n"/>
    </row>
    <row r="39">
      <c r="A39" s="27" t="n"/>
      <c r="B39" s="28" t="n"/>
      <c r="C39" s="27" t="n"/>
      <c r="D39" s="31" t="n"/>
      <c r="E39" s="29" t="n"/>
      <c r="F39" s="27" t="n"/>
      <c r="G39" s="27" t="n"/>
      <c r="H39" s="27" t="n"/>
      <c r="I39" s="31" t="n"/>
      <c r="J39" s="32" t="str">
        <f>IF(A39="","",IF(F39="Paid","",IF(AND(H39="Yes",I39&lt;&gt;""),I39,D39)))</f>
        <v/>
      </c>
      <c r="K39" s="28" t="n"/>
    </row>
    <row r="40">
      <c r="A40" s="27" t="n"/>
      <c r="B40" s="28" t="n"/>
      <c r="C40" s="27" t="n"/>
      <c r="D40" s="31" t="n"/>
      <c r="E40" s="29" t="n"/>
      <c r="F40" s="27" t="n"/>
      <c r="G40" s="27" t="n"/>
      <c r="H40" s="27" t="n"/>
      <c r="I40" s="31" t="n"/>
      <c r="J40" s="32" t="str">
        <f>IF(A40="","",IF(F40="Paid","",IF(AND(H40="Yes",I40&lt;&gt;""),I40,D40)))</f>
        <v/>
      </c>
      <c r="K40" s="28" t="n"/>
    </row>
    <row r="41">
      <c r="A41" s="27" t="n"/>
      <c r="B41" s="28" t="n"/>
      <c r="C41" s="27" t="n"/>
      <c r="D41" s="31" t="n"/>
      <c r="E41" s="29" t="n"/>
      <c r="F41" s="27" t="n"/>
      <c r="G41" s="27" t="n"/>
      <c r="H41" s="27" t="n"/>
      <c r="I41" s="31" t="n"/>
      <c r="J41" s="32" t="str">
        <f>IF(A41="","",IF(F41="Paid","",IF(AND(H41="Yes",I41&lt;&gt;""),I41,D41)))</f>
        <v/>
      </c>
      <c r="K41" s="28" t="n"/>
    </row>
    <row r="42">
      <c r="A42" s="27" t="n"/>
      <c r="B42" s="28" t="n"/>
      <c r="C42" s="27" t="n"/>
      <c r="D42" s="31" t="n"/>
      <c r="E42" s="29" t="n"/>
      <c r="F42" s="27" t="n"/>
      <c r="G42" s="27" t="n"/>
      <c r="H42" s="27" t="n"/>
      <c r="I42" s="31" t="n"/>
      <c r="J42" s="32" t="str">
        <f>IF(A42="","",IF(F42="Paid","",IF(AND(H42="Yes",I42&lt;&gt;""),I42,D42)))</f>
        <v/>
      </c>
      <c r="K42" s="28" t="n"/>
    </row>
    <row r="43">
      <c r="A43" s="27" t="n"/>
      <c r="B43" s="28" t="n"/>
      <c r="C43" s="27" t="n"/>
      <c r="D43" s="31" t="n"/>
      <c r="E43" s="29" t="n"/>
      <c r="F43" s="27" t="n"/>
      <c r="G43" s="27" t="n"/>
      <c r="H43" s="27" t="n"/>
      <c r="I43" s="31" t="n"/>
      <c r="J43" s="32" t="str">
        <f>IF(A43="","",IF(F43="Paid","",IF(AND(H43="Yes",I43&lt;&gt;""),I43,D43)))</f>
        <v/>
      </c>
      <c r="K43" s="28" t="n"/>
    </row>
    <row r="44">
      <c r="A44" s="27" t="n"/>
      <c r="B44" s="28" t="n"/>
      <c r="C44" s="27" t="n"/>
      <c r="D44" s="31" t="n"/>
      <c r="E44" s="29" t="n"/>
      <c r="F44" s="27" t="n"/>
      <c r="G44" s="27" t="n"/>
      <c r="H44" s="27" t="n"/>
      <c r="I44" s="31" t="n"/>
      <c r="J44" s="32" t="str">
        <f>IF(A44="","",IF(F44="Paid","",IF(AND(H44="Yes",I44&lt;&gt;""),I44,D44)))</f>
        <v/>
      </c>
      <c r="K44" s="28" t="n"/>
    </row>
    <row r="45">
      <c r="A45" s="27" t="n"/>
      <c r="B45" s="28" t="n"/>
      <c r="C45" s="27" t="n"/>
      <c r="D45" s="31" t="n"/>
      <c r="E45" s="29" t="n"/>
      <c r="F45" s="27" t="n"/>
      <c r="G45" s="27" t="n"/>
      <c r="H45" s="27" t="n"/>
      <c r="I45" s="31" t="n"/>
      <c r="J45" s="32" t="str">
        <f>IF(A45="","",IF(F45="Paid","",IF(AND(H45="Yes",I45&lt;&gt;""),I45,D45)))</f>
        <v/>
      </c>
      <c r="K45" s="28" t="n"/>
    </row>
    <row r="46">
      <c r="A46" s="27" t="n"/>
      <c r="B46" s="28" t="n"/>
      <c r="C46" s="27" t="n"/>
      <c r="D46" s="31" t="n"/>
      <c r="E46" s="29" t="n"/>
      <c r="F46" s="27" t="n"/>
      <c r="G46" s="27" t="n"/>
      <c r="H46" s="27" t="n"/>
      <c r="I46" s="31" t="n"/>
      <c r="J46" s="32" t="str">
        <f>IF(A46="","",IF(F46="Paid","",IF(AND(H46="Yes",I46&lt;&gt;""),I46,D46)))</f>
        <v/>
      </c>
      <c r="K46" s="28" t="n"/>
    </row>
    <row r="47">
      <c r="A47" s="27" t="n"/>
      <c r="B47" s="28" t="n"/>
      <c r="C47" s="27" t="n"/>
      <c r="D47" s="31" t="n"/>
      <c r="E47" s="29" t="n"/>
      <c r="F47" s="27" t="n"/>
      <c r="G47" s="27" t="n"/>
      <c r="H47" s="27" t="n"/>
      <c r="I47" s="31" t="n"/>
      <c r="J47" s="32" t="str">
        <f>IF(A47="","",IF(F47="Paid","",IF(AND(H47="Yes",I47&lt;&gt;""),I47,D47)))</f>
        <v/>
      </c>
      <c r="K47" s="28" t="n"/>
    </row>
    <row r="48">
      <c r="A48" s="27" t="n"/>
      <c r="B48" s="28" t="n"/>
      <c r="C48" s="27" t="n"/>
      <c r="D48" s="31" t="n"/>
      <c r="E48" s="29" t="n"/>
      <c r="F48" s="27" t="n"/>
      <c r="G48" s="27" t="n"/>
      <c r="H48" s="27" t="n"/>
      <c r="I48" s="31" t="n"/>
      <c r="J48" s="32" t="str">
        <f>IF(A48="","",IF(F48="Paid","",IF(AND(H48="Yes",I48&lt;&gt;""),I48,D48)))</f>
        <v/>
      </c>
      <c r="K48" s="28" t="n"/>
    </row>
    <row r="49">
      <c r="A49" s="27" t="n"/>
      <c r="B49" s="28" t="n"/>
      <c r="C49" s="27" t="n"/>
      <c r="D49" s="31" t="n"/>
      <c r="E49" s="29" t="n"/>
      <c r="F49" s="27" t="n"/>
      <c r="G49" s="27" t="n"/>
      <c r="H49" s="27" t="n"/>
      <c r="I49" s="31" t="n"/>
      <c r="J49" s="32" t="str">
        <f>IF(A49="","",IF(F49="Paid","",IF(AND(H49="Yes",I49&lt;&gt;""),I49,D49)))</f>
        <v/>
      </c>
      <c r="K49" s="28" t="n"/>
    </row>
    <row r="50">
      <c r="A50" s="27" t="n"/>
      <c r="B50" s="28" t="n"/>
      <c r="C50" s="27" t="n"/>
      <c r="D50" s="31" t="n"/>
      <c r="E50" s="29" t="n"/>
      <c r="F50" s="27" t="n"/>
      <c r="G50" s="27" t="n"/>
      <c r="H50" s="27" t="n"/>
      <c r="I50" s="31" t="n"/>
      <c r="J50" s="32" t="str">
        <f>IF(A50="","",IF(F50="Paid","",IF(AND(H50="Yes",I50&lt;&gt;""),I50,D50)))</f>
        <v/>
      </c>
      <c r="K50" s="28" t="n"/>
    </row>
    <row r="51">
      <c r="A51" s="27" t="n"/>
      <c r="B51" s="28" t="n"/>
      <c r="C51" s="27" t="n"/>
      <c r="D51" s="31" t="n"/>
      <c r="E51" s="29" t="n"/>
      <c r="F51" s="27" t="n"/>
      <c r="G51" s="27" t="n"/>
      <c r="H51" s="27" t="n"/>
      <c r="I51" s="31" t="n"/>
      <c r="J51" s="32" t="str">
        <f>IF(A51="","",IF(F51="Paid","",IF(AND(H51="Yes",I51&lt;&gt;""),I51,D51)))</f>
        <v/>
      </c>
      <c r="K51" s="28" t="n"/>
    </row>
    <row r="52">
      <c r="A52" s="27" t="n"/>
      <c r="B52" s="28" t="n"/>
      <c r="C52" s="27" t="n"/>
      <c r="D52" s="31" t="n"/>
      <c r="E52" s="29" t="n"/>
      <c r="F52" s="27" t="n"/>
      <c r="G52" s="27" t="n"/>
      <c r="H52" s="27" t="n"/>
      <c r="I52" s="31" t="n"/>
      <c r="J52" s="32" t="str">
        <f>IF(A52="","",IF(F52="Paid","",IF(AND(H52="Yes",I52&lt;&gt;""),I52,D52)))</f>
        <v/>
      </c>
      <c r="K52" s="28" t="n"/>
    </row>
    <row r="53">
      <c r="A53" s="27" t="n"/>
      <c r="B53" s="28" t="n"/>
      <c r="C53" s="27" t="n"/>
      <c r="D53" s="31" t="n"/>
      <c r="E53" s="29" t="n"/>
      <c r="F53" s="27" t="n"/>
      <c r="G53" s="27" t="n"/>
      <c r="H53" s="27" t="n"/>
      <c r="I53" s="31" t="n"/>
      <c r="J53" s="32" t="str">
        <f>IF(A53="","",IF(F53="Paid","",IF(AND(H53="Yes",I53&lt;&gt;""),I53,D53)))</f>
        <v/>
      </c>
      <c r="K53" s="28" t="n"/>
    </row>
    <row r="54">
      <c r="A54" s="27" t="n"/>
      <c r="B54" s="28" t="n"/>
      <c r="C54" s="27" t="n"/>
      <c r="D54" s="31" t="n"/>
      <c r="E54" s="29" t="n"/>
      <c r="F54" s="27" t="n"/>
      <c r="G54" s="27" t="n"/>
      <c r="H54" s="27" t="n"/>
      <c r="I54" s="31" t="n"/>
      <c r="J54" s="32" t="str">
        <f>IF(A54="","",IF(F54="Paid","",IF(AND(H54="Yes",I54&lt;&gt;""),I54,D54)))</f>
        <v/>
      </c>
      <c r="K54" s="28" t="n"/>
    </row>
    <row r="55">
      <c r="A55" s="27" t="n"/>
      <c r="B55" s="28" t="n"/>
      <c r="C55" s="27" t="n"/>
      <c r="D55" s="31" t="n"/>
      <c r="E55" s="29" t="n"/>
      <c r="F55" s="27" t="n"/>
      <c r="G55" s="27" t="n"/>
      <c r="H55" s="27" t="n"/>
      <c r="I55" s="31" t="n"/>
      <c r="J55" s="32" t="str">
        <f>IF(A55="","",IF(F55="Paid","",IF(AND(H55="Yes",I55&lt;&gt;""),I55,D55)))</f>
        <v/>
      </c>
      <c r="K55" s="28" t="n"/>
    </row>
    <row r="56">
      <c r="A56" s="27" t="n"/>
      <c r="B56" s="28" t="n"/>
      <c r="C56" s="27" t="n"/>
      <c r="D56" s="31" t="n"/>
      <c r="E56" s="29" t="n"/>
      <c r="F56" s="27" t="n"/>
      <c r="G56" s="27" t="n"/>
      <c r="H56" s="27" t="n"/>
      <c r="I56" s="31" t="n"/>
      <c r="J56" s="32" t="str">
        <f>IF(A56="","",IF(F56="Paid","",IF(AND(H56="Yes",I56&lt;&gt;""),I56,D56)))</f>
        <v/>
      </c>
      <c r="K56" s="28" t="n"/>
    </row>
    <row r="57">
      <c r="A57" s="27" t="n"/>
      <c r="B57" s="28" t="n"/>
      <c r="C57" s="27" t="n"/>
      <c r="D57" s="31" t="n"/>
      <c r="E57" s="29" t="n"/>
      <c r="F57" s="27" t="n"/>
      <c r="G57" s="27" t="n"/>
      <c r="H57" s="27" t="n"/>
      <c r="I57" s="31" t="n"/>
      <c r="J57" s="32" t="str">
        <f>IF(A57="","",IF(F57="Paid","",IF(AND(H57="Yes",I57&lt;&gt;""),I57,D57)))</f>
        <v/>
      </c>
      <c r="K57" s="28" t="n"/>
    </row>
    <row r="58">
      <c r="A58" s="27" t="n"/>
      <c r="B58" s="28" t="n"/>
      <c r="C58" s="27" t="n"/>
      <c r="D58" s="31" t="n"/>
      <c r="E58" s="29" t="n"/>
      <c r="F58" s="27" t="n"/>
      <c r="G58" s="27" t="n"/>
      <c r="H58" s="27" t="n"/>
      <c r="I58" s="31" t="n"/>
      <c r="J58" s="32" t="str">
        <f>IF(A58="","",IF(F58="Paid","",IF(AND(H58="Yes",I58&lt;&gt;""),I58,D58)))</f>
        <v/>
      </c>
      <c r="K58" s="28" t="n"/>
    </row>
    <row r="59">
      <c r="A59" s="27" t="n"/>
      <c r="B59" s="28" t="n"/>
      <c r="C59" s="27" t="n"/>
      <c r="D59" s="31" t="n"/>
      <c r="E59" s="29" t="n"/>
      <c r="F59" s="27" t="n"/>
      <c r="G59" s="27" t="n"/>
      <c r="H59" s="27" t="n"/>
      <c r="I59" s="31" t="n"/>
      <c r="J59" s="32" t="str">
        <f>IF(A59="","",IF(F59="Paid","",IF(AND(H59="Yes",I59&lt;&gt;""),I59,D59)))</f>
        <v/>
      </c>
      <c r="K59" s="28" t="n"/>
    </row>
    <row r="60">
      <c r="A60" s="27" t="n"/>
      <c r="B60" s="28" t="n"/>
      <c r="C60" s="27" t="n"/>
      <c r="D60" s="31" t="n"/>
      <c r="E60" s="29" t="n"/>
      <c r="F60" s="27" t="n"/>
      <c r="G60" s="27" t="n"/>
      <c r="H60" s="27" t="n"/>
      <c r="I60" s="31" t="n"/>
      <c r="J60" s="32" t="str">
        <f>IF(A60="","",IF(F60="Paid","",IF(AND(H60="Yes",I60&lt;&gt;""),I60,D60)))</f>
        <v/>
      </c>
      <c r="K60" s="28" t="n"/>
    </row>
    <row r="61">
      <c r="A61" s="27" t="n"/>
      <c r="B61" s="28" t="n"/>
      <c r="C61" s="27" t="n"/>
      <c r="D61" s="31" t="n"/>
      <c r="E61" s="29" t="n"/>
      <c r="F61" s="27" t="n"/>
      <c r="G61" s="27" t="n"/>
      <c r="H61" s="27" t="n"/>
      <c r="I61" s="31" t="n"/>
      <c r="J61" s="32" t="str">
        <f>IF(A61="","",IF(F61="Paid","",IF(AND(H61="Yes",I61&lt;&gt;""),I61,D61)))</f>
        <v/>
      </c>
      <c r="K61" s="28" t="n"/>
    </row>
    <row r="62">
      <c r="A62" s="27" t="n"/>
      <c r="B62" s="28" t="n"/>
      <c r="C62" s="27" t="n"/>
      <c r="D62" s="31" t="n"/>
      <c r="E62" s="29" t="n"/>
      <c r="F62" s="27" t="n"/>
      <c r="G62" s="27" t="n"/>
      <c r="H62" s="27" t="n"/>
      <c r="I62" s="31" t="n"/>
      <c r="J62" s="32" t="str">
        <f>IF(A62="","",IF(F62="Paid","",IF(AND(H62="Yes",I62&lt;&gt;""),I62,D62)))</f>
        <v/>
      </c>
      <c r="K62" s="28" t="n"/>
    </row>
    <row r="63">
      <c r="A63" s="27" t="n"/>
      <c r="B63" s="28" t="n"/>
      <c r="C63" s="27" t="n"/>
      <c r="D63" s="31" t="n"/>
      <c r="E63" s="29" t="n"/>
      <c r="F63" s="27" t="n"/>
      <c r="G63" s="27" t="n"/>
      <c r="H63" s="27" t="n"/>
      <c r="I63" s="31" t="n"/>
      <c r="J63" s="32" t="str">
        <f>IF(A63="","",IF(F63="Paid","",IF(AND(H63="Yes",I63&lt;&gt;""),I63,D63)))</f>
        <v/>
      </c>
      <c r="K63" s="28" t="n"/>
    </row>
    <row r="64">
      <c r="A64" s="27" t="n"/>
      <c r="B64" s="28" t="n"/>
      <c r="C64" s="27" t="n"/>
      <c r="D64" s="31" t="n"/>
      <c r="E64" s="29" t="n"/>
      <c r="F64" s="27" t="n"/>
      <c r="G64" s="27" t="n"/>
      <c r="H64" s="27" t="n"/>
      <c r="I64" s="31" t="n"/>
      <c r="J64" s="32" t="str">
        <f>IF(A64="","",IF(F64="Paid","",IF(AND(H64="Yes",I64&lt;&gt;""),I64,D64)))</f>
        <v/>
      </c>
      <c r="K64" s="28" t="n"/>
    </row>
    <row r="65">
      <c r="A65" s="27" t="n"/>
      <c r="B65" s="28" t="n"/>
      <c r="C65" s="27" t="n"/>
      <c r="D65" s="31" t="n"/>
      <c r="E65" s="29" t="n"/>
      <c r="F65" s="27" t="n"/>
      <c r="G65" s="27" t="n"/>
      <c r="H65" s="27" t="n"/>
      <c r="I65" s="31" t="n"/>
      <c r="J65" s="32" t="str">
        <f>IF(A65="","",IF(F65="Paid","",IF(AND(H65="Yes",I65&lt;&gt;""),I65,D65)))</f>
        <v/>
      </c>
      <c r="K65" s="28" t="n"/>
    </row>
    <row r="66">
      <c r="A66" s="27" t="n"/>
      <c r="B66" s="28" t="n"/>
      <c r="C66" s="27" t="n"/>
      <c r="D66" s="31" t="n"/>
      <c r="E66" s="29" t="n"/>
      <c r="F66" s="27" t="n"/>
      <c r="G66" s="27" t="n"/>
      <c r="H66" s="27" t="n"/>
      <c r="I66" s="31" t="n"/>
      <c r="J66" s="32" t="str">
        <f>IF(A66="","",IF(F66="Paid","",IF(AND(H66="Yes",I66&lt;&gt;""),I66,D66)))</f>
        <v/>
      </c>
      <c r="K66" s="28" t="n"/>
    </row>
    <row r="67">
      <c r="A67" s="27" t="n"/>
      <c r="B67" s="28" t="n"/>
      <c r="C67" s="27" t="n"/>
      <c r="D67" s="31" t="n"/>
      <c r="E67" s="29" t="n"/>
      <c r="F67" s="27" t="n"/>
      <c r="G67" s="27" t="n"/>
      <c r="H67" s="27" t="n"/>
      <c r="I67" s="31" t="n"/>
      <c r="J67" s="32" t="str">
        <f>IF(A67="","",IF(F67="Paid","",IF(AND(H67="Yes",I67&lt;&gt;""),I67,D67)))</f>
        <v/>
      </c>
      <c r="K67" s="28" t="n"/>
    </row>
    <row r="68">
      <c r="A68" s="27" t="n"/>
      <c r="B68" s="28" t="n"/>
      <c r="C68" s="27" t="n"/>
      <c r="D68" s="31" t="n"/>
      <c r="E68" s="29" t="n"/>
      <c r="F68" s="27" t="n"/>
      <c r="G68" s="27" t="n"/>
      <c r="H68" s="27" t="n"/>
      <c r="I68" s="31" t="n"/>
      <c r="J68" s="32" t="str">
        <f>IF(A68="","",IF(F68="Paid","",IF(AND(H68="Yes",I68&lt;&gt;""),I68,D68)))</f>
        <v/>
      </c>
      <c r="K68" s="28" t="n"/>
    </row>
    <row r="69">
      <c r="A69" s="27" t="n"/>
      <c r="B69" s="28" t="n"/>
      <c r="C69" s="27" t="n"/>
      <c r="D69" s="31" t="n"/>
      <c r="E69" s="29" t="n"/>
      <c r="F69" s="27" t="n"/>
      <c r="G69" s="27" t="n"/>
      <c r="H69" s="27" t="n"/>
      <c r="I69" s="31" t="n"/>
      <c r="J69" s="32" t="str">
        <f>IF(A69="","",IF(F69="Paid","",IF(AND(H69="Yes",I69&lt;&gt;""),I69,D69)))</f>
        <v/>
      </c>
      <c r="K69" s="28" t="n"/>
    </row>
    <row r="70">
      <c r="A70" s="27" t="n"/>
      <c r="B70" s="28" t="n"/>
      <c r="C70" s="27" t="n"/>
      <c r="D70" s="31" t="n"/>
      <c r="E70" s="29" t="n"/>
      <c r="F70" s="27" t="n"/>
      <c r="G70" s="27" t="n"/>
      <c r="H70" s="27" t="n"/>
      <c r="I70" s="31" t="n"/>
      <c r="J70" s="32" t="str">
        <f>IF(A70="","",IF(F70="Paid","",IF(AND(H70="Yes",I70&lt;&gt;""),I70,D70)))</f>
        <v/>
      </c>
      <c r="K70" s="28" t="n"/>
    </row>
    <row r="71">
      <c r="A71" s="27" t="n"/>
      <c r="B71" s="28" t="n"/>
      <c r="C71" s="27" t="n"/>
      <c r="D71" s="31" t="n"/>
      <c r="E71" s="29" t="n"/>
      <c r="F71" s="27" t="n"/>
      <c r="G71" s="27" t="n"/>
      <c r="H71" s="27" t="n"/>
      <c r="I71" s="31" t="n"/>
      <c r="J71" s="32" t="str">
        <f>IF(A71="","",IF(F71="Paid","",IF(AND(H71="Yes",I71&lt;&gt;""),I71,D71)))</f>
        <v/>
      </c>
      <c r="K71" s="28" t="n"/>
    </row>
    <row r="72">
      <c r="A72" s="27" t="n"/>
      <c r="B72" s="28" t="n"/>
      <c r="C72" s="27" t="n"/>
      <c r="D72" s="31" t="n"/>
      <c r="E72" s="29" t="n"/>
      <c r="F72" s="27" t="n"/>
      <c r="G72" s="27" t="n"/>
      <c r="H72" s="27" t="n"/>
      <c r="I72" s="31" t="n"/>
      <c r="J72" s="32" t="str">
        <f>IF(A72="","",IF(F72="Paid","",IF(AND(H72="Yes",I72&lt;&gt;""),I72,D72)))</f>
        <v/>
      </c>
      <c r="K72" s="28" t="n"/>
    </row>
    <row r="73">
      <c r="A73" s="27" t="n"/>
      <c r="B73" s="28" t="n"/>
      <c r="C73" s="27" t="n"/>
      <c r="D73" s="31" t="n"/>
      <c r="E73" s="29" t="n"/>
      <c r="F73" s="27" t="n"/>
      <c r="G73" s="27" t="n"/>
      <c r="H73" s="27" t="n"/>
      <c r="I73" s="31" t="n"/>
      <c r="J73" s="32" t="str">
        <f>IF(A73="","",IF(F73="Paid","",IF(AND(H73="Yes",I73&lt;&gt;""),I73,D73)))</f>
        <v/>
      </c>
      <c r="K73" s="28" t="n"/>
    </row>
    <row r="74">
      <c r="A74" s="27" t="n"/>
      <c r="B74" s="28" t="n"/>
      <c r="C74" s="27" t="n"/>
      <c r="D74" s="31" t="n"/>
      <c r="E74" s="29" t="n"/>
      <c r="F74" s="27" t="n"/>
      <c r="G74" s="27" t="n"/>
      <c r="H74" s="27" t="n"/>
      <c r="I74" s="31" t="n"/>
      <c r="J74" s="32" t="str">
        <f>IF(A74="","",IF(F74="Paid","",IF(AND(H74="Yes",I74&lt;&gt;""),I74,D74)))</f>
        <v/>
      </c>
      <c r="K74" s="28" t="n"/>
    </row>
    <row r="75">
      <c r="A75" s="27" t="n"/>
      <c r="B75" s="28" t="n"/>
      <c r="C75" s="27" t="n"/>
      <c r="D75" s="31" t="n"/>
      <c r="E75" s="29" t="n"/>
      <c r="F75" s="27" t="n"/>
      <c r="G75" s="27" t="n"/>
      <c r="H75" s="27" t="n"/>
      <c r="I75" s="31" t="n"/>
      <c r="J75" s="32" t="str">
        <f>IF(A75="","",IF(F75="Paid","",IF(AND(H75="Yes",I75&lt;&gt;""),I75,D75)))</f>
        <v/>
      </c>
      <c r="K75" s="28" t="n"/>
    </row>
    <row r="76">
      <c r="A76" s="27" t="n"/>
      <c r="B76" s="28" t="n"/>
      <c r="C76" s="27" t="n"/>
      <c r="D76" s="31" t="n"/>
      <c r="E76" s="29" t="n"/>
      <c r="F76" s="27" t="n"/>
      <c r="G76" s="27" t="n"/>
      <c r="H76" s="27" t="n"/>
      <c r="I76" s="31" t="n"/>
      <c r="J76" s="32" t="str">
        <f>IF(A76="","",IF(F76="Paid","",IF(AND(H76="Yes",I76&lt;&gt;""),I76,D76)))</f>
        <v/>
      </c>
      <c r="K76" s="28" t="n"/>
    </row>
    <row r="77">
      <c r="A77" s="27" t="n"/>
      <c r="B77" s="28" t="n"/>
      <c r="C77" s="27" t="n"/>
      <c r="D77" s="31" t="n"/>
      <c r="E77" s="29" t="n"/>
      <c r="F77" s="27" t="n"/>
      <c r="G77" s="27" t="n"/>
      <c r="H77" s="27" t="n"/>
      <c r="I77" s="31" t="n"/>
      <c r="J77" s="32" t="str">
        <f>IF(A77="","",IF(F77="Paid","",IF(AND(H77="Yes",I77&lt;&gt;""),I77,D77)))</f>
        <v/>
      </c>
      <c r="K77" s="28" t="n"/>
    </row>
    <row r="78">
      <c r="A78" s="27" t="n"/>
      <c r="B78" s="28" t="n"/>
      <c r="C78" s="27" t="n"/>
      <c r="D78" s="31" t="n"/>
      <c r="E78" s="29" t="n"/>
      <c r="F78" s="27" t="n"/>
      <c r="G78" s="27" t="n"/>
      <c r="H78" s="27" t="n"/>
      <c r="I78" s="31" t="n"/>
      <c r="J78" s="32" t="str">
        <f>IF(A78="","",IF(F78="Paid","",IF(AND(H78="Yes",I78&lt;&gt;""),I78,D78)))</f>
        <v/>
      </c>
      <c r="K78" s="28" t="n"/>
    </row>
    <row r="79">
      <c r="A79" s="27" t="n"/>
      <c r="B79" s="28" t="n"/>
      <c r="C79" s="27" t="n"/>
      <c r="D79" s="31" t="n"/>
      <c r="E79" s="29" t="n"/>
      <c r="F79" s="27" t="n"/>
      <c r="G79" s="27" t="n"/>
      <c r="H79" s="27" t="n"/>
      <c r="I79" s="31" t="n"/>
      <c r="J79" s="32" t="str">
        <f>IF(A79="","",IF(F79="Paid","",IF(AND(H79="Yes",I79&lt;&gt;""),I79,D79)))</f>
        <v/>
      </c>
      <c r="K79" s="28" t="n"/>
    </row>
    <row r="80">
      <c r="A80" s="27" t="n"/>
      <c r="B80" s="28" t="n"/>
      <c r="C80" s="27" t="n"/>
      <c r="D80" s="31" t="n"/>
      <c r="E80" s="29" t="n"/>
      <c r="F80" s="27" t="n"/>
      <c r="G80" s="27" t="n"/>
      <c r="H80" s="27" t="n"/>
      <c r="I80" s="31" t="n"/>
      <c r="J80" s="32" t="str">
        <f>IF(A80="","",IF(F80="Paid","",IF(AND(H80="Yes",I80&lt;&gt;""),I80,D80)))</f>
        <v/>
      </c>
      <c r="K80" s="28" t="n"/>
    </row>
    <row r="81">
      <c r="A81" s="27" t="n"/>
      <c r="B81" s="28" t="n"/>
      <c r="C81" s="27" t="n"/>
      <c r="D81" s="31" t="n"/>
      <c r="E81" s="29" t="n"/>
      <c r="F81" s="27" t="n"/>
      <c r="G81" s="27" t="n"/>
      <c r="H81" s="27" t="n"/>
      <c r="I81" s="31" t="n"/>
      <c r="J81" s="32" t="str">
        <f>IF(A81="","",IF(F81="Paid","",IF(AND(H81="Yes",I81&lt;&gt;""),I81,D81)))</f>
        <v/>
      </c>
      <c r="K81" s="28" t="n"/>
    </row>
    <row r="82">
      <c r="A82" s="27" t="n"/>
      <c r="B82" s="28" t="n"/>
      <c r="C82" s="27" t="n"/>
      <c r="D82" s="31" t="n"/>
      <c r="E82" s="29" t="n"/>
      <c r="F82" s="27" t="n"/>
      <c r="G82" s="27" t="n"/>
      <c r="H82" s="27" t="n"/>
      <c r="I82" s="31" t="n"/>
      <c r="J82" s="32" t="str">
        <f>IF(A82="","",IF(F82="Paid","",IF(AND(H82="Yes",I82&lt;&gt;""),I82,D82)))</f>
        <v/>
      </c>
      <c r="K82" s="28" t="n"/>
    </row>
    <row r="83">
      <c r="A83" s="27" t="n"/>
      <c r="B83" s="28" t="n"/>
      <c r="C83" s="27" t="n"/>
      <c r="D83" s="31" t="n"/>
      <c r="E83" s="29" t="n"/>
      <c r="F83" s="27" t="n"/>
      <c r="G83" s="27" t="n"/>
      <c r="H83" s="27" t="n"/>
      <c r="I83" s="31" t="n"/>
      <c r="J83" s="32" t="str">
        <f>IF(A83="","",IF(F83="Paid","",IF(AND(H83="Yes",I83&lt;&gt;""),I83,D83)))</f>
        <v/>
      </c>
      <c r="K83" s="28" t="n"/>
    </row>
    <row r="84">
      <c r="A84" s="27" t="n"/>
      <c r="B84" s="28" t="n"/>
      <c r="C84" s="27" t="n"/>
      <c r="D84" s="31" t="n"/>
      <c r="E84" s="29" t="n"/>
      <c r="F84" s="27" t="n"/>
      <c r="G84" s="27" t="n"/>
      <c r="H84" s="27" t="n"/>
      <c r="I84" s="31" t="n"/>
      <c r="J84" s="32" t="str">
        <f>IF(A84="","",IF(F84="Paid","",IF(AND(H84="Yes",I84&lt;&gt;""),I84,D84)))</f>
        <v/>
      </c>
      <c r="K84" s="28" t="n"/>
    </row>
    <row r="85">
      <c r="A85" s="27" t="n"/>
      <c r="B85" s="28" t="n"/>
      <c r="C85" s="27" t="n"/>
      <c r="D85" s="31" t="n"/>
      <c r="E85" s="29" t="n"/>
      <c r="F85" s="27" t="n"/>
      <c r="G85" s="27" t="n"/>
      <c r="H85" s="27" t="n"/>
      <c r="I85" s="31" t="n"/>
      <c r="J85" s="32" t="str">
        <f>IF(A85="","",IF(F85="Paid","",IF(AND(H85="Yes",I85&lt;&gt;""),I85,D85)))</f>
        <v/>
      </c>
      <c r="K85" s="28" t="n"/>
    </row>
    <row r="86">
      <c r="A86" s="27" t="n"/>
      <c r="B86" s="28" t="n"/>
      <c r="C86" s="27" t="n"/>
      <c r="D86" s="31" t="n"/>
      <c r="E86" s="29" t="n"/>
      <c r="F86" s="27" t="n"/>
      <c r="G86" s="27" t="n"/>
      <c r="H86" s="27" t="n"/>
      <c r="I86" s="31" t="n"/>
      <c r="J86" s="32" t="str">
        <f>IF(A86="","",IF(F86="Paid","",IF(AND(H86="Yes",I86&lt;&gt;""),I86,D86)))</f>
        <v/>
      </c>
      <c r="K86" s="28" t="n"/>
    </row>
    <row r="87">
      <c r="A87" s="27" t="n"/>
      <c r="B87" s="28" t="n"/>
      <c r="C87" s="27" t="n"/>
      <c r="D87" s="31" t="n"/>
      <c r="E87" s="29" t="n"/>
      <c r="F87" s="27" t="n"/>
      <c r="G87" s="27" t="n"/>
      <c r="H87" s="27" t="n"/>
      <c r="I87" s="31" t="n"/>
      <c r="J87" s="32" t="str">
        <f>IF(A87="","",IF(F87="Paid","",IF(AND(H87="Yes",I87&lt;&gt;""),I87,D87)))</f>
        <v/>
      </c>
      <c r="K87" s="28" t="n"/>
    </row>
    <row r="88">
      <c r="A88" s="27" t="n"/>
      <c r="B88" s="28" t="n"/>
      <c r="C88" s="27" t="n"/>
      <c r="D88" s="31" t="n"/>
      <c r="E88" s="29" t="n"/>
      <c r="F88" s="27" t="n"/>
      <c r="G88" s="27" t="n"/>
      <c r="H88" s="27" t="n"/>
      <c r="I88" s="31" t="n"/>
      <c r="J88" s="32" t="str">
        <f>IF(A88="","",IF(F88="Paid","",IF(AND(H88="Yes",I88&lt;&gt;""),I88,D88)))</f>
        <v/>
      </c>
      <c r="K88" s="28" t="n"/>
    </row>
    <row r="89">
      <c r="A89" s="27" t="n"/>
      <c r="B89" s="28" t="n"/>
      <c r="C89" s="27" t="n"/>
      <c r="D89" s="31" t="n"/>
      <c r="E89" s="29" t="n"/>
      <c r="F89" s="27" t="n"/>
      <c r="G89" s="27" t="n"/>
      <c r="H89" s="27" t="n"/>
      <c r="I89" s="31" t="n"/>
      <c r="J89" s="32" t="str">
        <f>IF(A89="","",IF(F89="Paid","",IF(AND(H89="Yes",I89&lt;&gt;""),I89,D89)))</f>
        <v/>
      </c>
      <c r="K89" s="28" t="n"/>
    </row>
    <row r="90">
      <c r="A90" s="27" t="n"/>
      <c r="B90" s="28" t="n"/>
      <c r="C90" s="27" t="n"/>
      <c r="D90" s="31" t="n"/>
      <c r="E90" s="29" t="n"/>
      <c r="F90" s="27" t="n"/>
      <c r="G90" s="27" t="n"/>
      <c r="H90" s="27" t="n"/>
      <c r="I90" s="31" t="n"/>
      <c r="J90" s="32" t="str">
        <f>IF(A90="","",IF(F90="Paid","",IF(AND(H90="Yes",I90&lt;&gt;""),I90,D90)))</f>
        <v/>
      </c>
      <c r="K90" s="28" t="n"/>
    </row>
    <row r="91">
      <c r="A91" s="27" t="n"/>
      <c r="B91" s="28" t="n"/>
      <c r="C91" s="27" t="n"/>
      <c r="D91" s="31" t="n"/>
      <c r="E91" s="29" t="n"/>
      <c r="F91" s="27" t="n"/>
      <c r="G91" s="27" t="n"/>
      <c r="H91" s="27" t="n"/>
      <c r="I91" s="31" t="n"/>
      <c r="J91" s="32" t="str">
        <f>IF(A91="","",IF(F91="Paid","",IF(AND(H91="Yes",I91&lt;&gt;""),I91,D91)))</f>
        <v/>
      </c>
      <c r="K91" s="28" t="n"/>
    </row>
    <row r="92">
      <c r="A92" s="27" t="n"/>
      <c r="B92" s="28" t="n"/>
      <c r="C92" s="27" t="n"/>
      <c r="D92" s="31" t="n"/>
      <c r="E92" s="29" t="n"/>
      <c r="F92" s="27" t="n"/>
      <c r="G92" s="27" t="n"/>
      <c r="H92" s="27" t="n"/>
      <c r="I92" s="31" t="n"/>
      <c r="J92" s="32" t="str">
        <f>IF(A92="","",IF(F92="Paid","",IF(AND(H92="Yes",I92&lt;&gt;""),I92,D92)))</f>
        <v/>
      </c>
      <c r="K92" s="28" t="n"/>
    </row>
    <row r="93">
      <c r="A93" s="27" t="n"/>
      <c r="B93" s="28" t="n"/>
      <c r="C93" s="27" t="n"/>
      <c r="D93" s="31" t="n"/>
      <c r="E93" s="29" t="n"/>
      <c r="F93" s="27" t="n"/>
      <c r="G93" s="27" t="n"/>
      <c r="H93" s="27" t="n"/>
      <c r="I93" s="31" t="n"/>
      <c r="J93" s="32" t="str">
        <f>IF(A93="","",IF(F93="Paid","",IF(AND(H93="Yes",I93&lt;&gt;""),I93,D93)))</f>
        <v/>
      </c>
      <c r="K93" s="28" t="n"/>
    </row>
    <row r="94">
      <c r="A94" s="27" t="n"/>
      <c r="B94" s="28" t="n"/>
      <c r="C94" s="27" t="n"/>
      <c r="D94" s="31" t="n"/>
      <c r="E94" s="29" t="n"/>
      <c r="F94" s="27" t="n"/>
      <c r="G94" s="27" t="n"/>
      <c r="H94" s="27" t="n"/>
      <c r="I94" s="31" t="n"/>
      <c r="J94" s="32" t="str">
        <f>IF(A94="","",IF(F94="Paid","",IF(AND(H94="Yes",I94&lt;&gt;""),I94,D94)))</f>
        <v/>
      </c>
      <c r="K94" s="28" t="n"/>
    </row>
    <row r="95">
      <c r="A95" s="27" t="n"/>
      <c r="B95" s="28" t="n"/>
      <c r="C95" s="27" t="n"/>
      <c r="D95" s="31" t="n"/>
      <c r="E95" s="29" t="n"/>
      <c r="F95" s="27" t="n"/>
      <c r="G95" s="27" t="n"/>
      <c r="H95" s="27" t="n"/>
      <c r="I95" s="31" t="n"/>
      <c r="J95" s="32" t="str">
        <f>IF(A95="","",IF(F95="Paid","",IF(AND(H95="Yes",I95&lt;&gt;""),I95,D95)))</f>
        <v/>
      </c>
      <c r="K95" s="28" t="n"/>
    </row>
    <row r="96">
      <c r="A96" s="27" t="n"/>
      <c r="B96" s="28" t="n"/>
      <c r="C96" s="27" t="n"/>
      <c r="D96" s="31" t="n"/>
      <c r="E96" s="29" t="n"/>
      <c r="F96" s="27" t="n"/>
      <c r="G96" s="27" t="n"/>
      <c r="H96" s="27" t="n"/>
      <c r="I96" s="31" t="n"/>
      <c r="J96" s="32" t="str">
        <f>IF(A96="","",IF(F96="Paid","",IF(AND(H96="Yes",I96&lt;&gt;""),I96,D96)))</f>
        <v/>
      </c>
      <c r="K96" s="28" t="n"/>
    </row>
    <row r="97">
      <c r="A97" s="27" t="n"/>
      <c r="B97" s="28" t="n"/>
      <c r="C97" s="27" t="n"/>
      <c r="D97" s="31" t="n"/>
      <c r="E97" s="29" t="n"/>
      <c r="F97" s="27" t="n"/>
      <c r="G97" s="27" t="n"/>
      <c r="H97" s="27" t="n"/>
      <c r="I97" s="31" t="n"/>
      <c r="J97" s="32" t="str">
        <f>IF(A97="","",IF(F97="Paid","",IF(AND(H97="Yes",I97&lt;&gt;""),I97,D97)))</f>
        <v/>
      </c>
      <c r="K97" s="28" t="n"/>
    </row>
    <row r="98">
      <c r="A98" s="27" t="n"/>
      <c r="B98" s="28" t="n"/>
      <c r="C98" s="27" t="n"/>
      <c r="D98" s="31" t="n"/>
      <c r="E98" s="29" t="n"/>
      <c r="F98" s="27" t="n"/>
      <c r="G98" s="27" t="n"/>
      <c r="H98" s="27" t="n"/>
      <c r="I98" s="31" t="n"/>
      <c r="J98" s="32" t="str">
        <f>IF(A98="","",IF(F98="Paid","",IF(AND(H98="Yes",I98&lt;&gt;""),I98,D98)))</f>
        <v/>
      </c>
      <c r="K98" s="28" t="n"/>
    </row>
    <row r="99">
      <c r="A99" s="27" t="n"/>
      <c r="B99" s="28" t="n"/>
      <c r="C99" s="27" t="n"/>
      <c r="D99" s="31" t="n"/>
      <c r="E99" s="29" t="n"/>
      <c r="F99" s="27" t="n"/>
      <c r="G99" s="27" t="n"/>
      <c r="H99" s="27" t="n"/>
      <c r="I99" s="31" t="n"/>
      <c r="J99" s="32" t="str">
        <f>IF(A99="","",IF(F99="Paid","",IF(AND(H99="Yes",I99&lt;&gt;""),I99,D99)))</f>
        <v/>
      </c>
      <c r="K99" s="28" t="n"/>
    </row>
    <row r="100">
      <c r="A100" s="27" t="n"/>
      <c r="B100" s="28" t="n"/>
      <c r="C100" s="27" t="n"/>
      <c r="D100" s="31" t="n"/>
      <c r="E100" s="29" t="n"/>
      <c r="F100" s="27" t="n"/>
      <c r="G100" s="27" t="n"/>
      <c r="H100" s="27" t="n"/>
      <c r="I100" s="31" t="n"/>
      <c r="J100" s="32" t="str">
        <f>IF(A100="","",IF(F100="Paid","",IF(AND(H100="Yes",I100&lt;&gt;""),I100,D100)))</f>
        <v/>
      </c>
      <c r="K100" s="28" t="n"/>
    </row>
    <row r="101">
      <c r="A101" s="27" t="n"/>
      <c r="B101" s="28" t="n"/>
      <c r="C101" s="27" t="n"/>
      <c r="D101" s="31" t="n"/>
      <c r="E101" s="29" t="n"/>
      <c r="F101" s="27" t="n"/>
      <c r="G101" s="27" t="n"/>
      <c r="H101" s="27" t="n"/>
      <c r="I101" s="31" t="n"/>
      <c r="J101" s="32" t="str">
        <f>IF(A101="","",IF(F101="Paid","",IF(AND(H101="Yes",I101&lt;&gt;""),I101,D101)))</f>
        <v/>
      </c>
      <c r="K101" s="28" t="n"/>
    </row>
    <row r="102">
      <c r="A102" s="27" t="n"/>
      <c r="B102" s="28" t="n"/>
      <c r="C102" s="27" t="n"/>
      <c r="D102" s="31" t="n"/>
      <c r="E102" s="29" t="n"/>
      <c r="F102" s="27" t="n"/>
      <c r="G102" s="27" t="n"/>
      <c r="H102" s="27" t="n"/>
      <c r="I102" s="31" t="n"/>
      <c r="J102" s="32" t="str">
        <f>IF(A102="","",IF(F102="Paid","",IF(AND(H102="Yes",I102&lt;&gt;""),I102,D102)))</f>
        <v/>
      </c>
      <c r="K102" s="28" t="n"/>
    </row>
    <row r="103">
      <c r="A103" s="27" t="n"/>
      <c r="B103" s="28" t="n"/>
      <c r="C103" s="27" t="n"/>
      <c r="D103" s="31" t="n"/>
      <c r="E103" s="29" t="n"/>
      <c r="F103" s="27" t="n"/>
      <c r="G103" s="27" t="n"/>
      <c r="H103" s="27" t="n"/>
      <c r="I103" s="31" t="n"/>
      <c r="J103" s="32" t="str">
        <f>IF(A103="","",IF(F103="Paid","",IF(AND(H103="Yes",I103&lt;&gt;""),I103,D103)))</f>
        <v/>
      </c>
      <c r="K103" s="28" t="n"/>
    </row>
    <row r="104">
      <c r="A104" s="27" t="n"/>
      <c r="B104" s="28" t="n"/>
      <c r="C104" s="27" t="n"/>
      <c r="D104" s="31" t="n"/>
      <c r="E104" s="29" t="n"/>
      <c r="F104" s="27" t="n"/>
      <c r="G104" s="27" t="n"/>
      <c r="H104" s="27" t="n"/>
      <c r="I104" s="31" t="n"/>
      <c r="J104" s="32" t="str">
        <f>IF(A104="","",IF(F104="Paid","",IF(AND(H104="Yes",I104&lt;&gt;""),I104,D104)))</f>
        <v/>
      </c>
      <c r="K104" s="28" t="n"/>
    </row>
    <row r="105">
      <c r="A105" s="27" t="n"/>
      <c r="B105" s="28" t="n"/>
      <c r="C105" s="27" t="n"/>
      <c r="D105" s="31" t="n"/>
      <c r="E105" s="29" t="n"/>
      <c r="F105" s="27" t="n"/>
      <c r="G105" s="27" t="n"/>
      <c r="H105" s="27" t="n"/>
      <c r="I105" s="31" t="n"/>
      <c r="J105" s="32" t="str">
        <f>IF(A105="","",IF(F105="Paid","",IF(AND(H105="Yes",I105&lt;&gt;""),I105,D105)))</f>
        <v/>
      </c>
      <c r="K105" s="28" t="n"/>
    </row>
    <row r="106">
      <c r="A106" s="27" t="n"/>
      <c r="B106" s="28" t="n"/>
      <c r="C106" s="27" t="n"/>
      <c r="D106" s="31" t="n"/>
      <c r="E106" s="29" t="n"/>
      <c r="F106" s="27" t="n"/>
      <c r="G106" s="27" t="n"/>
      <c r="H106" s="27" t="n"/>
      <c r="I106" s="31" t="n"/>
      <c r="J106" s="32" t="str">
        <f>IF(A106="","",IF(F106="Paid","",IF(AND(H106="Yes",I106&lt;&gt;""),I106,D106)))</f>
        <v/>
      </c>
      <c r="K106" s="28" t="n"/>
    </row>
  </sheetData>
  <autoFilter ref="A6:K106"/>
  <mergeCells count="2">
    <mergeCell ref="A2:K2"/>
    <mergeCell ref="A1:K1"/>
  </mergeCells>
  <dataValidations count="3">
    <dataValidation sqref="F7:F106" showDropDown="0" showInputMessage="0" showErrorMessage="0" allowBlank="0" type="list">
      <formula1>"Unpaid,Paid,Cancelled"</formula1>
    </dataValidation>
    <dataValidation sqref="G7:G106" showDropDown="0" showInputMessage="0" showErrorMessage="0" allowBlank="0" type="list">
      <formula1>"Essential,Important,Flexible"</formula1>
    </dataValidation>
    <dataValidation sqref="H7:H106" showDropDown="0" showInputMessage="0" showErrorMessage="0" allowBlank="0" type="list">
      <formula1>"Yes,No"</formula1>
    </dataValidation>
  </dataValidations>
  <printOptions horizontalCentered="1"/>
  <pageMargins left="0.25" right="0.25" top="0.4" bottom="0.4" header="0.5" footer="0.5"/>
  <pageSetup orientation="landscape" fitToHeight="0" fitToWidth="1"/>
  <headerFooter>
    <oddHeader/>
    <oddFooter>&amp;CPayout Delay Cash-Flow Early Warning Sheet&amp;RPage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14" customWidth="1" min="3" max="3"/>
    <col width="16" customWidth="1" min="4" max="4"/>
    <col width="16" customWidth="1" min="5" max="5"/>
    <col width="15" customWidth="1" min="6" max="6"/>
    <col width="14" customWidth="1" min="7" max="7"/>
    <col width="20" customWidth="1" min="8" max="8"/>
    <col width="32" customWidth="1" min="9" max="9"/>
  </cols>
  <sheetData>
    <row r="1" ht="34" customHeight="1">
      <c r="A1" s="1" t="inlineStr">
        <is>
          <t>Other Cash Movements</t>
        </is>
      </c>
    </row>
    <row r="2" ht="30" customHeight="1">
      <c r="A2" s="2" t="inlineStr">
        <is>
          <t>Use this for non-payout cash movements. Row 7 is an illustrative example; replace or delete it. Probability discounts expected cash until received.</t>
        </is>
      </c>
    </row>
    <row r="3"/>
    <row r="4"/>
    <row r="5"/>
    <row r="6" ht="34" customHeight="1">
      <c r="A6" s="26" t="inlineStr">
        <is>
          <t>Movement ID</t>
        </is>
      </c>
      <c r="B6" s="26" t="inlineStr">
        <is>
          <t>Description</t>
        </is>
      </c>
      <c r="C6" s="26" t="inlineStr">
        <is>
          <t>Type</t>
        </is>
      </c>
      <c r="D6" s="26" t="inlineStr">
        <is>
          <t>Date</t>
        </is>
      </c>
      <c r="E6" s="26" t="inlineStr">
        <is>
          <t>Amount ($)</t>
        </is>
      </c>
      <c r="F6" s="26" t="inlineStr">
        <is>
          <t>Probability %</t>
        </is>
      </c>
      <c r="G6" s="26" t="inlineStr">
        <is>
          <t>Status</t>
        </is>
      </c>
      <c r="H6" s="26" t="inlineStr">
        <is>
          <t>Forecast amount ($)</t>
        </is>
      </c>
      <c r="I6" s="26" t="inlineStr">
        <is>
          <t>Notes</t>
        </is>
      </c>
    </row>
    <row r="7">
      <c r="A7" s="27" t="inlineStr">
        <is>
          <t>EX-CASH-001</t>
        </is>
      </c>
      <c r="B7" s="28" t="inlineStr">
        <is>
          <t>Marketplace settlement</t>
        </is>
      </c>
      <c r="C7" s="27" t="inlineStr">
        <is>
          <t>Inflow</t>
        </is>
      </c>
      <c r="D7" s="31" t="n">
        <v>46316</v>
      </c>
      <c r="E7" s="29" t="n">
        <v>1200</v>
      </c>
      <c r="F7" s="33" t="n">
        <v>1</v>
      </c>
      <c r="G7" s="27" t="inlineStr">
        <is>
          <t>Expected</t>
        </is>
      </c>
      <c r="H7" s="30" t="n">
        <f>IF(A7="","",IF(G7="Cancelled",0,IF(G7="Received",E7,E7*F7)))</f>
        <v>1200</v>
      </c>
      <c r="I7" s="28" t="inlineStr">
        <is>
          <t>Illustrative row — replace or delete</t>
        </is>
      </c>
    </row>
    <row r="8">
      <c r="A8" s="27" t="n"/>
      <c r="B8" s="28" t="n"/>
      <c r="C8" s="27" t="n"/>
      <c r="D8" s="31" t="n"/>
      <c r="E8" s="29" t="n"/>
      <c r="F8" s="33" t="n"/>
      <c r="G8" s="27" t="n"/>
      <c r="H8" s="30" t="str">
        <f>IF(A8="","",IF(G8="Cancelled",0,IF(G8="Received",E8,E8*F8)))</f>
        <v/>
      </c>
      <c r="I8" s="28" t="n"/>
    </row>
    <row r="9">
      <c r="A9" s="27" t="n"/>
      <c r="B9" s="28" t="n"/>
      <c r="C9" s="27" t="n"/>
      <c r="D9" s="31" t="n"/>
      <c r="E9" s="29" t="n"/>
      <c r="F9" s="33" t="n"/>
      <c r="G9" s="27" t="n"/>
      <c r="H9" s="30" t="str">
        <f>IF(A9="","",IF(G9="Cancelled",0,IF(G9="Received",E9,E9*F9)))</f>
        <v/>
      </c>
      <c r="I9" s="28" t="n"/>
    </row>
    <row r="10">
      <c r="A10" s="27" t="n"/>
      <c r="B10" s="28" t="n"/>
      <c r="C10" s="27" t="n"/>
      <c r="D10" s="31" t="n"/>
      <c r="E10" s="29" t="n"/>
      <c r="F10" s="33" t="n"/>
      <c r="G10" s="27" t="n"/>
      <c r="H10" s="30" t="str">
        <f>IF(A10="","",IF(G10="Cancelled",0,IF(G10="Received",E10,E10*F10)))</f>
        <v/>
      </c>
      <c r="I10" s="28" t="n"/>
    </row>
    <row r="11">
      <c r="A11" s="27" t="n"/>
      <c r="B11" s="28" t="n"/>
      <c r="C11" s="27" t="n"/>
      <c r="D11" s="31" t="n"/>
      <c r="E11" s="29" t="n"/>
      <c r="F11" s="33" t="n"/>
      <c r="G11" s="27" t="n"/>
      <c r="H11" s="30" t="str">
        <f>IF(A11="","",IF(G11="Cancelled",0,IF(G11="Received",E11,E11*F11)))</f>
        <v/>
      </c>
      <c r="I11" s="28" t="n"/>
    </row>
    <row r="12">
      <c r="A12" s="27" t="n"/>
      <c r="B12" s="28" t="n"/>
      <c r="C12" s="27" t="n"/>
      <c r="D12" s="31" t="n"/>
      <c r="E12" s="29" t="n"/>
      <c r="F12" s="33" t="n"/>
      <c r="G12" s="27" t="n"/>
      <c r="H12" s="30" t="str">
        <f>IF(A12="","",IF(G12="Cancelled",0,IF(G12="Received",E12,E12*F12)))</f>
        <v/>
      </c>
      <c r="I12" s="28" t="n"/>
    </row>
    <row r="13">
      <c r="A13" s="27" t="n"/>
      <c r="B13" s="28" t="n"/>
      <c r="C13" s="27" t="n"/>
      <c r="D13" s="31" t="n"/>
      <c r="E13" s="29" t="n"/>
      <c r="F13" s="33" t="n"/>
      <c r="G13" s="27" t="n"/>
      <c r="H13" s="30" t="str">
        <f>IF(A13="","",IF(G13="Cancelled",0,IF(G13="Received",E13,E13*F13)))</f>
        <v/>
      </c>
      <c r="I13" s="28" t="n"/>
    </row>
    <row r="14">
      <c r="A14" s="27" t="n"/>
      <c r="B14" s="28" t="n"/>
      <c r="C14" s="27" t="n"/>
      <c r="D14" s="31" t="n"/>
      <c r="E14" s="29" t="n"/>
      <c r="F14" s="33" t="n"/>
      <c r="G14" s="27" t="n"/>
      <c r="H14" s="30" t="str">
        <f>IF(A14="","",IF(G14="Cancelled",0,IF(G14="Received",E14,E14*F14)))</f>
        <v/>
      </c>
      <c r="I14" s="28" t="n"/>
    </row>
    <row r="15">
      <c r="A15" s="27" t="n"/>
      <c r="B15" s="28" t="n"/>
      <c r="C15" s="27" t="n"/>
      <c r="D15" s="31" t="n"/>
      <c r="E15" s="29" t="n"/>
      <c r="F15" s="33" t="n"/>
      <c r="G15" s="27" t="n"/>
      <c r="H15" s="30" t="str">
        <f>IF(A15="","",IF(G15="Cancelled",0,IF(G15="Received",E15,E15*F15)))</f>
        <v/>
      </c>
      <c r="I15" s="28" t="n"/>
    </row>
    <row r="16">
      <c r="A16" s="27" t="n"/>
      <c r="B16" s="28" t="n"/>
      <c r="C16" s="27" t="n"/>
      <c r="D16" s="31" t="n"/>
      <c r="E16" s="29" t="n"/>
      <c r="F16" s="33" t="n"/>
      <c r="G16" s="27" t="n"/>
      <c r="H16" s="30" t="str">
        <f>IF(A16="","",IF(G16="Cancelled",0,IF(G16="Received",E16,E16*F16)))</f>
        <v/>
      </c>
      <c r="I16" s="28" t="n"/>
    </row>
    <row r="17">
      <c r="A17" s="27" t="n"/>
      <c r="B17" s="28" t="n"/>
      <c r="C17" s="27" t="n"/>
      <c r="D17" s="31" t="n"/>
      <c r="E17" s="29" t="n"/>
      <c r="F17" s="33" t="n"/>
      <c r="G17" s="27" t="n"/>
      <c r="H17" s="30" t="str">
        <f>IF(A17="","",IF(G17="Cancelled",0,IF(G17="Received",E17,E17*F17)))</f>
        <v/>
      </c>
      <c r="I17" s="28" t="n"/>
    </row>
    <row r="18">
      <c r="A18" s="27" t="n"/>
      <c r="B18" s="28" t="n"/>
      <c r="C18" s="27" t="n"/>
      <c r="D18" s="31" t="n"/>
      <c r="E18" s="29" t="n"/>
      <c r="F18" s="33" t="n"/>
      <c r="G18" s="27" t="n"/>
      <c r="H18" s="30" t="str">
        <f>IF(A18="","",IF(G18="Cancelled",0,IF(G18="Received",E18,E18*F18)))</f>
        <v/>
      </c>
      <c r="I18" s="28" t="n"/>
    </row>
    <row r="19">
      <c r="A19" s="27" t="n"/>
      <c r="B19" s="28" t="n"/>
      <c r="C19" s="27" t="n"/>
      <c r="D19" s="31" t="n"/>
      <c r="E19" s="29" t="n"/>
      <c r="F19" s="33" t="n"/>
      <c r="G19" s="27" t="n"/>
      <c r="H19" s="30" t="str">
        <f>IF(A19="","",IF(G19="Cancelled",0,IF(G19="Received",E19,E19*F19)))</f>
        <v/>
      </c>
      <c r="I19" s="28" t="n"/>
    </row>
    <row r="20">
      <c r="A20" s="27" t="n"/>
      <c r="B20" s="28" t="n"/>
      <c r="C20" s="27" t="n"/>
      <c r="D20" s="31" t="n"/>
      <c r="E20" s="29" t="n"/>
      <c r="F20" s="33" t="n"/>
      <c r="G20" s="27" t="n"/>
      <c r="H20" s="30" t="str">
        <f>IF(A20="","",IF(G20="Cancelled",0,IF(G20="Received",E20,E20*F20)))</f>
        <v/>
      </c>
      <c r="I20" s="28" t="n"/>
    </row>
    <row r="21">
      <c r="A21" s="27" t="n"/>
      <c r="B21" s="28" t="n"/>
      <c r="C21" s="27" t="n"/>
      <c r="D21" s="31" t="n"/>
      <c r="E21" s="29" t="n"/>
      <c r="F21" s="33" t="n"/>
      <c r="G21" s="27" t="n"/>
      <c r="H21" s="30" t="str">
        <f>IF(A21="","",IF(G21="Cancelled",0,IF(G21="Received",E21,E21*F21)))</f>
        <v/>
      </c>
      <c r="I21" s="28" t="n"/>
    </row>
    <row r="22">
      <c r="A22" s="27" t="n"/>
      <c r="B22" s="28" t="n"/>
      <c r="C22" s="27" t="n"/>
      <c r="D22" s="31" t="n"/>
      <c r="E22" s="29" t="n"/>
      <c r="F22" s="33" t="n"/>
      <c r="G22" s="27" t="n"/>
      <c r="H22" s="30" t="str">
        <f>IF(A22="","",IF(G22="Cancelled",0,IF(G22="Received",E22,E22*F22)))</f>
        <v/>
      </c>
      <c r="I22" s="28" t="n"/>
    </row>
    <row r="23">
      <c r="A23" s="27" t="n"/>
      <c r="B23" s="28" t="n"/>
      <c r="C23" s="27" t="n"/>
      <c r="D23" s="31" t="n"/>
      <c r="E23" s="29" t="n"/>
      <c r="F23" s="33" t="n"/>
      <c r="G23" s="27" t="n"/>
      <c r="H23" s="30" t="str">
        <f>IF(A23="","",IF(G23="Cancelled",0,IF(G23="Received",E23,E23*F23)))</f>
        <v/>
      </c>
      <c r="I23" s="28" t="n"/>
    </row>
    <row r="24">
      <c r="A24" s="27" t="n"/>
      <c r="B24" s="28" t="n"/>
      <c r="C24" s="27" t="n"/>
      <c r="D24" s="31" t="n"/>
      <c r="E24" s="29" t="n"/>
      <c r="F24" s="33" t="n"/>
      <c r="G24" s="27" t="n"/>
      <c r="H24" s="30" t="str">
        <f>IF(A24="","",IF(G24="Cancelled",0,IF(G24="Received",E24,E24*F24)))</f>
        <v/>
      </c>
      <c r="I24" s="28" t="n"/>
    </row>
    <row r="25">
      <c r="A25" s="27" t="n"/>
      <c r="B25" s="28" t="n"/>
      <c r="C25" s="27" t="n"/>
      <c r="D25" s="31" t="n"/>
      <c r="E25" s="29" t="n"/>
      <c r="F25" s="33" t="n"/>
      <c r="G25" s="27" t="n"/>
      <c r="H25" s="30" t="str">
        <f>IF(A25="","",IF(G25="Cancelled",0,IF(G25="Received",E25,E25*F25)))</f>
        <v/>
      </c>
      <c r="I25" s="28" t="n"/>
    </row>
    <row r="26">
      <c r="A26" s="27" t="n"/>
      <c r="B26" s="28" t="n"/>
      <c r="C26" s="27" t="n"/>
      <c r="D26" s="31" t="n"/>
      <c r="E26" s="29" t="n"/>
      <c r="F26" s="33" t="n"/>
      <c r="G26" s="27" t="n"/>
      <c r="H26" s="30" t="str">
        <f>IF(A26="","",IF(G26="Cancelled",0,IF(G26="Received",E26,E26*F26)))</f>
        <v/>
      </c>
      <c r="I26" s="28" t="n"/>
    </row>
    <row r="27">
      <c r="A27" s="27" t="n"/>
      <c r="B27" s="28" t="n"/>
      <c r="C27" s="27" t="n"/>
      <c r="D27" s="31" t="n"/>
      <c r="E27" s="29" t="n"/>
      <c r="F27" s="33" t="n"/>
      <c r="G27" s="27" t="n"/>
      <c r="H27" s="30" t="str">
        <f>IF(A27="","",IF(G27="Cancelled",0,IF(G27="Received",E27,E27*F27)))</f>
        <v/>
      </c>
      <c r="I27" s="28" t="n"/>
    </row>
    <row r="28">
      <c r="A28" s="27" t="n"/>
      <c r="B28" s="28" t="n"/>
      <c r="C28" s="27" t="n"/>
      <c r="D28" s="31" t="n"/>
      <c r="E28" s="29" t="n"/>
      <c r="F28" s="33" t="n"/>
      <c r="G28" s="27" t="n"/>
      <c r="H28" s="30" t="str">
        <f>IF(A28="","",IF(G28="Cancelled",0,IF(G28="Received",E28,E28*F28)))</f>
        <v/>
      </c>
      <c r="I28" s="28" t="n"/>
    </row>
    <row r="29">
      <c r="A29" s="27" t="n"/>
      <c r="B29" s="28" t="n"/>
      <c r="C29" s="27" t="n"/>
      <c r="D29" s="31" t="n"/>
      <c r="E29" s="29" t="n"/>
      <c r="F29" s="33" t="n"/>
      <c r="G29" s="27" t="n"/>
      <c r="H29" s="30" t="str">
        <f>IF(A29="","",IF(G29="Cancelled",0,IF(G29="Received",E29,E29*F29)))</f>
        <v/>
      </c>
      <c r="I29" s="28" t="n"/>
    </row>
    <row r="30">
      <c r="A30" s="27" t="n"/>
      <c r="B30" s="28" t="n"/>
      <c r="C30" s="27" t="n"/>
      <c r="D30" s="31" t="n"/>
      <c r="E30" s="29" t="n"/>
      <c r="F30" s="33" t="n"/>
      <c r="G30" s="27" t="n"/>
      <c r="H30" s="30" t="str">
        <f>IF(A30="","",IF(G30="Cancelled",0,IF(G30="Received",E30,E30*F30)))</f>
        <v/>
      </c>
      <c r="I30" s="28" t="n"/>
    </row>
    <row r="31">
      <c r="A31" s="27" t="n"/>
      <c r="B31" s="28" t="n"/>
      <c r="C31" s="27" t="n"/>
      <c r="D31" s="31" t="n"/>
      <c r="E31" s="29" t="n"/>
      <c r="F31" s="33" t="n"/>
      <c r="G31" s="27" t="n"/>
      <c r="H31" s="30" t="str">
        <f>IF(A31="","",IF(G31="Cancelled",0,IF(G31="Received",E31,E31*F31)))</f>
        <v/>
      </c>
      <c r="I31" s="28" t="n"/>
    </row>
    <row r="32">
      <c r="A32" s="27" t="n"/>
      <c r="B32" s="28" t="n"/>
      <c r="C32" s="27" t="n"/>
      <c r="D32" s="31" t="n"/>
      <c r="E32" s="29" t="n"/>
      <c r="F32" s="33" t="n"/>
      <c r="G32" s="27" t="n"/>
      <c r="H32" s="30" t="str">
        <f>IF(A32="","",IF(G32="Cancelled",0,IF(G32="Received",E32,E32*F32)))</f>
        <v/>
      </c>
      <c r="I32" s="28" t="n"/>
    </row>
    <row r="33">
      <c r="A33" s="27" t="n"/>
      <c r="B33" s="28" t="n"/>
      <c r="C33" s="27" t="n"/>
      <c r="D33" s="31" t="n"/>
      <c r="E33" s="29" t="n"/>
      <c r="F33" s="33" t="n"/>
      <c r="G33" s="27" t="n"/>
      <c r="H33" s="30" t="str">
        <f>IF(A33="","",IF(G33="Cancelled",0,IF(G33="Received",E33,E33*F33)))</f>
        <v/>
      </c>
      <c r="I33" s="28" t="n"/>
    </row>
    <row r="34">
      <c r="A34" s="27" t="n"/>
      <c r="B34" s="28" t="n"/>
      <c r="C34" s="27" t="n"/>
      <c r="D34" s="31" t="n"/>
      <c r="E34" s="29" t="n"/>
      <c r="F34" s="33" t="n"/>
      <c r="G34" s="27" t="n"/>
      <c r="H34" s="30" t="str">
        <f>IF(A34="","",IF(G34="Cancelled",0,IF(G34="Received",E34,E34*F34)))</f>
        <v/>
      </c>
      <c r="I34" s="28" t="n"/>
    </row>
    <row r="35">
      <c r="A35" s="27" t="n"/>
      <c r="B35" s="28" t="n"/>
      <c r="C35" s="27" t="n"/>
      <c r="D35" s="31" t="n"/>
      <c r="E35" s="29" t="n"/>
      <c r="F35" s="33" t="n"/>
      <c r="G35" s="27" t="n"/>
      <c r="H35" s="30" t="str">
        <f>IF(A35="","",IF(G35="Cancelled",0,IF(G35="Received",E35,E35*F35)))</f>
        <v/>
      </c>
      <c r="I35" s="28" t="n"/>
    </row>
    <row r="36">
      <c r="A36" s="27" t="n"/>
      <c r="B36" s="28" t="n"/>
      <c r="C36" s="27" t="n"/>
      <c r="D36" s="31" t="n"/>
      <c r="E36" s="29" t="n"/>
      <c r="F36" s="33" t="n"/>
      <c r="G36" s="27" t="n"/>
      <c r="H36" s="30" t="str">
        <f>IF(A36="","",IF(G36="Cancelled",0,IF(G36="Received",E36,E36*F36)))</f>
        <v/>
      </c>
      <c r="I36" s="28" t="n"/>
    </row>
    <row r="37">
      <c r="A37" s="27" t="n"/>
      <c r="B37" s="28" t="n"/>
      <c r="C37" s="27" t="n"/>
      <c r="D37" s="31" t="n"/>
      <c r="E37" s="29" t="n"/>
      <c r="F37" s="33" t="n"/>
      <c r="G37" s="27" t="n"/>
      <c r="H37" s="30" t="str">
        <f>IF(A37="","",IF(G37="Cancelled",0,IF(G37="Received",E37,E37*F37)))</f>
        <v/>
      </c>
      <c r="I37" s="28" t="n"/>
    </row>
    <row r="38">
      <c r="A38" s="27" t="n"/>
      <c r="B38" s="28" t="n"/>
      <c r="C38" s="27" t="n"/>
      <c r="D38" s="31" t="n"/>
      <c r="E38" s="29" t="n"/>
      <c r="F38" s="33" t="n"/>
      <c r="G38" s="27" t="n"/>
      <c r="H38" s="30" t="str">
        <f>IF(A38="","",IF(G38="Cancelled",0,IF(G38="Received",E38,E38*F38)))</f>
        <v/>
      </c>
      <c r="I38" s="28" t="n"/>
    </row>
    <row r="39">
      <c r="A39" s="27" t="n"/>
      <c r="B39" s="28" t="n"/>
      <c r="C39" s="27" t="n"/>
      <c r="D39" s="31" t="n"/>
      <c r="E39" s="29" t="n"/>
      <c r="F39" s="33" t="n"/>
      <c r="G39" s="27" t="n"/>
      <c r="H39" s="30" t="str">
        <f>IF(A39="","",IF(G39="Cancelled",0,IF(G39="Received",E39,E39*F39)))</f>
        <v/>
      </c>
      <c r="I39" s="28" t="n"/>
    </row>
    <row r="40">
      <c r="A40" s="27" t="n"/>
      <c r="B40" s="28" t="n"/>
      <c r="C40" s="27" t="n"/>
      <c r="D40" s="31" t="n"/>
      <c r="E40" s="29" t="n"/>
      <c r="F40" s="33" t="n"/>
      <c r="G40" s="27" t="n"/>
      <c r="H40" s="30" t="str">
        <f>IF(A40="","",IF(G40="Cancelled",0,IF(G40="Received",E40,E40*F40)))</f>
        <v/>
      </c>
      <c r="I40" s="28" t="n"/>
    </row>
    <row r="41">
      <c r="A41" s="27" t="n"/>
      <c r="B41" s="28" t="n"/>
      <c r="C41" s="27" t="n"/>
      <c r="D41" s="31" t="n"/>
      <c r="E41" s="29" t="n"/>
      <c r="F41" s="33" t="n"/>
      <c r="G41" s="27" t="n"/>
      <c r="H41" s="30" t="str">
        <f>IF(A41="","",IF(G41="Cancelled",0,IF(G41="Received",E41,E41*F41)))</f>
        <v/>
      </c>
      <c r="I41" s="28" t="n"/>
    </row>
    <row r="42">
      <c r="A42" s="27" t="n"/>
      <c r="B42" s="28" t="n"/>
      <c r="C42" s="27" t="n"/>
      <c r="D42" s="31" t="n"/>
      <c r="E42" s="29" t="n"/>
      <c r="F42" s="33" t="n"/>
      <c r="G42" s="27" t="n"/>
      <c r="H42" s="30" t="str">
        <f>IF(A42="","",IF(G42="Cancelled",0,IF(G42="Received",E42,E42*F42)))</f>
        <v/>
      </c>
      <c r="I42" s="28" t="n"/>
    </row>
    <row r="43">
      <c r="A43" s="27" t="n"/>
      <c r="B43" s="28" t="n"/>
      <c r="C43" s="27" t="n"/>
      <c r="D43" s="31" t="n"/>
      <c r="E43" s="29" t="n"/>
      <c r="F43" s="33" t="n"/>
      <c r="G43" s="27" t="n"/>
      <c r="H43" s="30" t="str">
        <f>IF(A43="","",IF(G43="Cancelled",0,IF(G43="Received",E43,E43*F43)))</f>
        <v/>
      </c>
      <c r="I43" s="28" t="n"/>
    </row>
    <row r="44">
      <c r="A44" s="27" t="n"/>
      <c r="B44" s="28" t="n"/>
      <c r="C44" s="27" t="n"/>
      <c r="D44" s="31" t="n"/>
      <c r="E44" s="29" t="n"/>
      <c r="F44" s="33" t="n"/>
      <c r="G44" s="27" t="n"/>
      <c r="H44" s="30" t="str">
        <f>IF(A44="","",IF(G44="Cancelled",0,IF(G44="Received",E44,E44*F44)))</f>
        <v/>
      </c>
      <c r="I44" s="28" t="n"/>
    </row>
    <row r="45">
      <c r="A45" s="27" t="n"/>
      <c r="B45" s="28" t="n"/>
      <c r="C45" s="27" t="n"/>
      <c r="D45" s="31" t="n"/>
      <c r="E45" s="29" t="n"/>
      <c r="F45" s="33" t="n"/>
      <c r="G45" s="27" t="n"/>
      <c r="H45" s="30" t="str">
        <f>IF(A45="","",IF(G45="Cancelled",0,IF(G45="Received",E45,E45*F45)))</f>
        <v/>
      </c>
      <c r="I45" s="28" t="n"/>
    </row>
    <row r="46">
      <c r="A46" s="27" t="n"/>
      <c r="B46" s="28" t="n"/>
      <c r="C46" s="27" t="n"/>
      <c r="D46" s="31" t="n"/>
      <c r="E46" s="29" t="n"/>
      <c r="F46" s="33" t="n"/>
      <c r="G46" s="27" t="n"/>
      <c r="H46" s="30" t="str">
        <f>IF(A46="","",IF(G46="Cancelled",0,IF(G46="Received",E46,E46*F46)))</f>
        <v/>
      </c>
      <c r="I46" s="28" t="n"/>
    </row>
    <row r="47">
      <c r="A47" s="27" t="n"/>
      <c r="B47" s="28" t="n"/>
      <c r="C47" s="27" t="n"/>
      <c r="D47" s="31" t="n"/>
      <c r="E47" s="29" t="n"/>
      <c r="F47" s="33" t="n"/>
      <c r="G47" s="27" t="n"/>
      <c r="H47" s="30" t="str">
        <f>IF(A47="","",IF(G47="Cancelled",0,IF(G47="Received",E47,E47*F47)))</f>
        <v/>
      </c>
      <c r="I47" s="28" t="n"/>
    </row>
    <row r="48">
      <c r="A48" s="27" t="n"/>
      <c r="B48" s="28" t="n"/>
      <c r="C48" s="27" t="n"/>
      <c r="D48" s="31" t="n"/>
      <c r="E48" s="29" t="n"/>
      <c r="F48" s="33" t="n"/>
      <c r="G48" s="27" t="n"/>
      <c r="H48" s="30" t="str">
        <f>IF(A48="","",IF(G48="Cancelled",0,IF(G48="Received",E48,E48*F48)))</f>
        <v/>
      </c>
      <c r="I48" s="28" t="n"/>
    </row>
    <row r="49">
      <c r="A49" s="27" t="n"/>
      <c r="B49" s="28" t="n"/>
      <c r="C49" s="27" t="n"/>
      <c r="D49" s="31" t="n"/>
      <c r="E49" s="29" t="n"/>
      <c r="F49" s="33" t="n"/>
      <c r="G49" s="27" t="n"/>
      <c r="H49" s="30" t="str">
        <f>IF(A49="","",IF(G49="Cancelled",0,IF(G49="Received",E49,E49*F49)))</f>
        <v/>
      </c>
      <c r="I49" s="28" t="n"/>
    </row>
    <row r="50">
      <c r="A50" s="27" t="n"/>
      <c r="B50" s="28" t="n"/>
      <c r="C50" s="27" t="n"/>
      <c r="D50" s="31" t="n"/>
      <c r="E50" s="29" t="n"/>
      <c r="F50" s="33" t="n"/>
      <c r="G50" s="27" t="n"/>
      <c r="H50" s="30" t="str">
        <f>IF(A50="","",IF(G50="Cancelled",0,IF(G50="Received",E50,E50*F50)))</f>
        <v/>
      </c>
      <c r="I50" s="28" t="n"/>
    </row>
    <row r="51">
      <c r="A51" s="27" t="n"/>
      <c r="B51" s="28" t="n"/>
      <c r="C51" s="27" t="n"/>
      <c r="D51" s="31" t="n"/>
      <c r="E51" s="29" t="n"/>
      <c r="F51" s="33" t="n"/>
      <c r="G51" s="27" t="n"/>
      <c r="H51" s="30" t="str">
        <f>IF(A51="","",IF(G51="Cancelled",0,IF(G51="Received",E51,E51*F51)))</f>
        <v/>
      </c>
      <c r="I51" s="28" t="n"/>
    </row>
    <row r="52">
      <c r="A52" s="27" t="n"/>
      <c r="B52" s="28" t="n"/>
      <c r="C52" s="27" t="n"/>
      <c r="D52" s="31" t="n"/>
      <c r="E52" s="29" t="n"/>
      <c r="F52" s="33" t="n"/>
      <c r="G52" s="27" t="n"/>
      <c r="H52" s="30" t="str">
        <f>IF(A52="","",IF(G52="Cancelled",0,IF(G52="Received",E52,E52*F52)))</f>
        <v/>
      </c>
      <c r="I52" s="28" t="n"/>
    </row>
    <row r="53">
      <c r="A53" s="27" t="n"/>
      <c r="B53" s="28" t="n"/>
      <c r="C53" s="27" t="n"/>
      <c r="D53" s="31" t="n"/>
      <c r="E53" s="29" t="n"/>
      <c r="F53" s="33" t="n"/>
      <c r="G53" s="27" t="n"/>
      <c r="H53" s="30" t="str">
        <f>IF(A53="","",IF(G53="Cancelled",0,IF(G53="Received",E53,E53*F53)))</f>
        <v/>
      </c>
      <c r="I53" s="28" t="n"/>
    </row>
    <row r="54">
      <c r="A54" s="27" t="n"/>
      <c r="B54" s="28" t="n"/>
      <c r="C54" s="27" t="n"/>
      <c r="D54" s="31" t="n"/>
      <c r="E54" s="29" t="n"/>
      <c r="F54" s="33" t="n"/>
      <c r="G54" s="27" t="n"/>
      <c r="H54" s="30" t="str">
        <f>IF(A54="","",IF(G54="Cancelled",0,IF(G54="Received",E54,E54*F54)))</f>
        <v/>
      </c>
      <c r="I54" s="28" t="n"/>
    </row>
    <row r="55">
      <c r="A55" s="27" t="n"/>
      <c r="B55" s="28" t="n"/>
      <c r="C55" s="27" t="n"/>
      <c r="D55" s="31" t="n"/>
      <c r="E55" s="29" t="n"/>
      <c r="F55" s="33" t="n"/>
      <c r="G55" s="27" t="n"/>
      <c r="H55" s="30" t="str">
        <f>IF(A55="","",IF(G55="Cancelled",0,IF(G55="Received",E55,E55*F55)))</f>
        <v/>
      </c>
      <c r="I55" s="28" t="n"/>
    </row>
    <row r="56">
      <c r="A56" s="27" t="n"/>
      <c r="B56" s="28" t="n"/>
      <c r="C56" s="27" t="n"/>
      <c r="D56" s="31" t="n"/>
      <c r="E56" s="29" t="n"/>
      <c r="F56" s="33" t="n"/>
      <c r="G56" s="27" t="n"/>
      <c r="H56" s="30" t="str">
        <f>IF(A56="","",IF(G56="Cancelled",0,IF(G56="Received",E56,E56*F56)))</f>
        <v/>
      </c>
      <c r="I56" s="28" t="n"/>
    </row>
    <row r="57">
      <c r="A57" s="27" t="n"/>
      <c r="B57" s="28" t="n"/>
      <c r="C57" s="27" t="n"/>
      <c r="D57" s="31" t="n"/>
      <c r="E57" s="29" t="n"/>
      <c r="F57" s="33" t="n"/>
      <c r="G57" s="27" t="n"/>
      <c r="H57" s="30" t="str">
        <f>IF(A57="","",IF(G57="Cancelled",0,IF(G57="Received",E57,E57*F57)))</f>
        <v/>
      </c>
      <c r="I57" s="28" t="n"/>
    </row>
    <row r="58">
      <c r="A58" s="27" t="n"/>
      <c r="B58" s="28" t="n"/>
      <c r="C58" s="27" t="n"/>
      <c r="D58" s="31" t="n"/>
      <c r="E58" s="29" t="n"/>
      <c r="F58" s="33" t="n"/>
      <c r="G58" s="27" t="n"/>
      <c r="H58" s="30" t="str">
        <f>IF(A58="","",IF(G58="Cancelled",0,IF(G58="Received",E58,E58*F58)))</f>
        <v/>
      </c>
      <c r="I58" s="28" t="n"/>
    </row>
    <row r="59">
      <c r="A59" s="27" t="n"/>
      <c r="B59" s="28" t="n"/>
      <c r="C59" s="27" t="n"/>
      <c r="D59" s="31" t="n"/>
      <c r="E59" s="29" t="n"/>
      <c r="F59" s="33" t="n"/>
      <c r="G59" s="27" t="n"/>
      <c r="H59" s="30" t="str">
        <f>IF(A59="","",IF(G59="Cancelled",0,IF(G59="Received",E59,E59*F59)))</f>
        <v/>
      </c>
      <c r="I59" s="28" t="n"/>
    </row>
    <row r="60">
      <c r="A60" s="27" t="n"/>
      <c r="B60" s="28" t="n"/>
      <c r="C60" s="27" t="n"/>
      <c r="D60" s="31" t="n"/>
      <c r="E60" s="29" t="n"/>
      <c r="F60" s="33" t="n"/>
      <c r="G60" s="27" t="n"/>
      <c r="H60" s="30" t="str">
        <f>IF(A60="","",IF(G60="Cancelled",0,IF(G60="Received",E60,E60*F60)))</f>
        <v/>
      </c>
      <c r="I60" s="28" t="n"/>
    </row>
    <row r="61">
      <c r="A61" s="27" t="n"/>
      <c r="B61" s="28" t="n"/>
      <c r="C61" s="27" t="n"/>
      <c r="D61" s="31" t="n"/>
      <c r="E61" s="29" t="n"/>
      <c r="F61" s="33" t="n"/>
      <c r="G61" s="27" t="n"/>
      <c r="H61" s="30" t="str">
        <f>IF(A61="","",IF(G61="Cancelled",0,IF(G61="Received",E61,E61*F61)))</f>
        <v/>
      </c>
      <c r="I61" s="28" t="n"/>
    </row>
    <row r="62">
      <c r="A62" s="27" t="n"/>
      <c r="B62" s="28" t="n"/>
      <c r="C62" s="27" t="n"/>
      <c r="D62" s="31" t="n"/>
      <c r="E62" s="29" t="n"/>
      <c r="F62" s="33" t="n"/>
      <c r="G62" s="27" t="n"/>
      <c r="H62" s="30" t="str">
        <f>IF(A62="","",IF(G62="Cancelled",0,IF(G62="Received",E62,E62*F62)))</f>
        <v/>
      </c>
      <c r="I62" s="28" t="n"/>
    </row>
    <row r="63">
      <c r="A63" s="27" t="n"/>
      <c r="B63" s="28" t="n"/>
      <c r="C63" s="27" t="n"/>
      <c r="D63" s="31" t="n"/>
      <c r="E63" s="29" t="n"/>
      <c r="F63" s="33" t="n"/>
      <c r="G63" s="27" t="n"/>
      <c r="H63" s="30" t="str">
        <f>IF(A63="","",IF(G63="Cancelled",0,IF(G63="Received",E63,E63*F63)))</f>
        <v/>
      </c>
      <c r="I63" s="28" t="n"/>
    </row>
    <row r="64">
      <c r="A64" s="27" t="n"/>
      <c r="B64" s="28" t="n"/>
      <c r="C64" s="27" t="n"/>
      <c r="D64" s="31" t="n"/>
      <c r="E64" s="29" t="n"/>
      <c r="F64" s="33" t="n"/>
      <c r="G64" s="27" t="n"/>
      <c r="H64" s="30" t="str">
        <f>IF(A64="","",IF(G64="Cancelled",0,IF(G64="Received",E64,E64*F64)))</f>
        <v/>
      </c>
      <c r="I64" s="28" t="n"/>
    </row>
    <row r="65">
      <c r="A65" s="27" t="n"/>
      <c r="B65" s="28" t="n"/>
      <c r="C65" s="27" t="n"/>
      <c r="D65" s="31" t="n"/>
      <c r="E65" s="29" t="n"/>
      <c r="F65" s="33" t="n"/>
      <c r="G65" s="27" t="n"/>
      <c r="H65" s="30" t="str">
        <f>IF(A65="","",IF(G65="Cancelled",0,IF(G65="Received",E65,E65*F65)))</f>
        <v/>
      </c>
      <c r="I65" s="28" t="n"/>
    </row>
    <row r="66">
      <c r="A66" s="27" t="n"/>
      <c r="B66" s="28" t="n"/>
      <c r="C66" s="27" t="n"/>
      <c r="D66" s="31" t="n"/>
      <c r="E66" s="29" t="n"/>
      <c r="F66" s="33" t="n"/>
      <c r="G66" s="27" t="n"/>
      <c r="H66" s="30" t="str">
        <f>IF(A66="","",IF(G66="Cancelled",0,IF(G66="Received",E66,E66*F66)))</f>
        <v/>
      </c>
      <c r="I66" s="28" t="n"/>
    </row>
    <row r="67">
      <c r="A67" s="27" t="n"/>
      <c r="B67" s="28" t="n"/>
      <c r="C67" s="27" t="n"/>
      <c r="D67" s="31" t="n"/>
      <c r="E67" s="29" t="n"/>
      <c r="F67" s="33" t="n"/>
      <c r="G67" s="27" t="n"/>
      <c r="H67" s="30" t="str">
        <f>IF(A67="","",IF(G67="Cancelled",0,IF(G67="Received",E67,E67*F67)))</f>
        <v/>
      </c>
      <c r="I67" s="28" t="n"/>
    </row>
    <row r="68">
      <c r="A68" s="27" t="n"/>
      <c r="B68" s="28" t="n"/>
      <c r="C68" s="27" t="n"/>
      <c r="D68" s="31" t="n"/>
      <c r="E68" s="29" t="n"/>
      <c r="F68" s="33" t="n"/>
      <c r="G68" s="27" t="n"/>
      <c r="H68" s="30" t="str">
        <f>IF(A68="","",IF(G68="Cancelled",0,IF(G68="Received",E68,E68*F68)))</f>
        <v/>
      </c>
      <c r="I68" s="28" t="n"/>
    </row>
    <row r="69">
      <c r="A69" s="27" t="n"/>
      <c r="B69" s="28" t="n"/>
      <c r="C69" s="27" t="n"/>
      <c r="D69" s="31" t="n"/>
      <c r="E69" s="29" t="n"/>
      <c r="F69" s="33" t="n"/>
      <c r="G69" s="27" t="n"/>
      <c r="H69" s="30" t="str">
        <f>IF(A69="","",IF(G69="Cancelled",0,IF(G69="Received",E69,E69*F69)))</f>
        <v/>
      </c>
      <c r="I69" s="28" t="n"/>
    </row>
    <row r="70">
      <c r="A70" s="27" t="n"/>
      <c r="B70" s="28" t="n"/>
      <c r="C70" s="27" t="n"/>
      <c r="D70" s="31" t="n"/>
      <c r="E70" s="29" t="n"/>
      <c r="F70" s="33" t="n"/>
      <c r="G70" s="27" t="n"/>
      <c r="H70" s="30" t="str">
        <f>IF(A70="","",IF(G70="Cancelled",0,IF(G70="Received",E70,E70*F70)))</f>
        <v/>
      </c>
      <c r="I70" s="28" t="n"/>
    </row>
    <row r="71">
      <c r="A71" s="27" t="n"/>
      <c r="B71" s="28" t="n"/>
      <c r="C71" s="27" t="n"/>
      <c r="D71" s="31" t="n"/>
      <c r="E71" s="29" t="n"/>
      <c r="F71" s="33" t="n"/>
      <c r="G71" s="27" t="n"/>
      <c r="H71" s="30" t="str">
        <f>IF(A71="","",IF(G71="Cancelled",0,IF(G71="Received",E71,E71*F71)))</f>
        <v/>
      </c>
      <c r="I71" s="28" t="n"/>
    </row>
    <row r="72">
      <c r="A72" s="27" t="n"/>
      <c r="B72" s="28" t="n"/>
      <c r="C72" s="27" t="n"/>
      <c r="D72" s="31" t="n"/>
      <c r="E72" s="29" t="n"/>
      <c r="F72" s="33" t="n"/>
      <c r="G72" s="27" t="n"/>
      <c r="H72" s="30" t="str">
        <f>IF(A72="","",IF(G72="Cancelled",0,IF(G72="Received",E72,E72*F72)))</f>
        <v/>
      </c>
      <c r="I72" s="28" t="n"/>
    </row>
    <row r="73">
      <c r="A73" s="27" t="n"/>
      <c r="B73" s="28" t="n"/>
      <c r="C73" s="27" t="n"/>
      <c r="D73" s="31" t="n"/>
      <c r="E73" s="29" t="n"/>
      <c r="F73" s="33" t="n"/>
      <c r="G73" s="27" t="n"/>
      <c r="H73" s="30" t="str">
        <f>IF(A73="","",IF(G73="Cancelled",0,IF(G73="Received",E73,E73*F73)))</f>
        <v/>
      </c>
      <c r="I73" s="28" t="n"/>
    </row>
    <row r="74">
      <c r="A74" s="27" t="n"/>
      <c r="B74" s="28" t="n"/>
      <c r="C74" s="27" t="n"/>
      <c r="D74" s="31" t="n"/>
      <c r="E74" s="29" t="n"/>
      <c r="F74" s="33" t="n"/>
      <c r="G74" s="27" t="n"/>
      <c r="H74" s="30" t="str">
        <f>IF(A74="","",IF(G74="Cancelled",0,IF(G74="Received",E74,E74*F74)))</f>
        <v/>
      </c>
      <c r="I74" s="28" t="n"/>
    </row>
    <row r="75">
      <c r="A75" s="27" t="n"/>
      <c r="B75" s="28" t="n"/>
      <c r="C75" s="27" t="n"/>
      <c r="D75" s="31" t="n"/>
      <c r="E75" s="29" t="n"/>
      <c r="F75" s="33" t="n"/>
      <c r="G75" s="27" t="n"/>
      <c r="H75" s="30" t="str">
        <f>IF(A75="","",IF(G75="Cancelled",0,IF(G75="Received",E75,E75*F75)))</f>
        <v/>
      </c>
      <c r="I75" s="28" t="n"/>
    </row>
    <row r="76">
      <c r="A76" s="27" t="n"/>
      <c r="B76" s="28" t="n"/>
      <c r="C76" s="27" t="n"/>
      <c r="D76" s="31" t="n"/>
      <c r="E76" s="29" t="n"/>
      <c r="F76" s="33" t="n"/>
      <c r="G76" s="27" t="n"/>
      <c r="H76" s="30" t="str">
        <f>IF(A76="","",IF(G76="Cancelled",0,IF(G76="Received",E76,E76*F76)))</f>
        <v/>
      </c>
      <c r="I76" s="28" t="n"/>
    </row>
    <row r="77">
      <c r="A77" s="27" t="n"/>
      <c r="B77" s="28" t="n"/>
      <c r="C77" s="27" t="n"/>
      <c r="D77" s="31" t="n"/>
      <c r="E77" s="29" t="n"/>
      <c r="F77" s="33" t="n"/>
      <c r="G77" s="27" t="n"/>
      <c r="H77" s="30" t="str">
        <f>IF(A77="","",IF(G77="Cancelled",0,IF(G77="Received",E77,E77*F77)))</f>
        <v/>
      </c>
      <c r="I77" s="28" t="n"/>
    </row>
    <row r="78">
      <c r="A78" s="27" t="n"/>
      <c r="B78" s="28" t="n"/>
      <c r="C78" s="27" t="n"/>
      <c r="D78" s="31" t="n"/>
      <c r="E78" s="29" t="n"/>
      <c r="F78" s="33" t="n"/>
      <c r="G78" s="27" t="n"/>
      <c r="H78" s="30" t="str">
        <f>IF(A78="","",IF(G78="Cancelled",0,IF(G78="Received",E78,E78*F78)))</f>
        <v/>
      </c>
      <c r="I78" s="28" t="n"/>
    </row>
    <row r="79">
      <c r="A79" s="27" t="n"/>
      <c r="B79" s="28" t="n"/>
      <c r="C79" s="27" t="n"/>
      <c r="D79" s="31" t="n"/>
      <c r="E79" s="29" t="n"/>
      <c r="F79" s="33" t="n"/>
      <c r="G79" s="27" t="n"/>
      <c r="H79" s="30" t="str">
        <f>IF(A79="","",IF(G79="Cancelled",0,IF(G79="Received",E79,E79*F79)))</f>
        <v/>
      </c>
      <c r="I79" s="28" t="n"/>
    </row>
    <row r="80">
      <c r="A80" s="27" t="n"/>
      <c r="B80" s="28" t="n"/>
      <c r="C80" s="27" t="n"/>
      <c r="D80" s="31" t="n"/>
      <c r="E80" s="29" t="n"/>
      <c r="F80" s="33" t="n"/>
      <c r="G80" s="27" t="n"/>
      <c r="H80" s="30" t="str">
        <f>IF(A80="","",IF(G80="Cancelled",0,IF(G80="Received",E80,E80*F80)))</f>
        <v/>
      </c>
      <c r="I80" s="28" t="n"/>
    </row>
    <row r="81">
      <c r="A81" s="27" t="n"/>
      <c r="B81" s="28" t="n"/>
      <c r="C81" s="27" t="n"/>
      <c r="D81" s="31" t="n"/>
      <c r="E81" s="29" t="n"/>
      <c r="F81" s="33" t="n"/>
      <c r="G81" s="27" t="n"/>
      <c r="H81" s="30" t="str">
        <f>IF(A81="","",IF(G81="Cancelled",0,IF(G81="Received",E81,E81*F81)))</f>
        <v/>
      </c>
      <c r="I81" s="28" t="n"/>
    </row>
    <row r="82">
      <c r="A82" s="27" t="n"/>
      <c r="B82" s="28" t="n"/>
      <c r="C82" s="27" t="n"/>
      <c r="D82" s="31" t="n"/>
      <c r="E82" s="29" t="n"/>
      <c r="F82" s="33" t="n"/>
      <c r="G82" s="27" t="n"/>
      <c r="H82" s="30" t="str">
        <f>IF(A82="","",IF(G82="Cancelled",0,IF(G82="Received",E82,E82*F82)))</f>
        <v/>
      </c>
      <c r="I82" s="28" t="n"/>
    </row>
    <row r="83">
      <c r="A83" s="27" t="n"/>
      <c r="B83" s="28" t="n"/>
      <c r="C83" s="27" t="n"/>
      <c r="D83" s="31" t="n"/>
      <c r="E83" s="29" t="n"/>
      <c r="F83" s="33" t="n"/>
      <c r="G83" s="27" t="n"/>
      <c r="H83" s="30" t="str">
        <f>IF(A83="","",IF(G83="Cancelled",0,IF(G83="Received",E83,E83*F83)))</f>
        <v/>
      </c>
      <c r="I83" s="28" t="n"/>
    </row>
    <row r="84">
      <c r="A84" s="27" t="n"/>
      <c r="B84" s="28" t="n"/>
      <c r="C84" s="27" t="n"/>
      <c r="D84" s="31" t="n"/>
      <c r="E84" s="29" t="n"/>
      <c r="F84" s="33" t="n"/>
      <c r="G84" s="27" t="n"/>
      <c r="H84" s="30" t="str">
        <f>IF(A84="","",IF(G84="Cancelled",0,IF(G84="Received",E84,E84*F84)))</f>
        <v/>
      </c>
      <c r="I84" s="28" t="n"/>
    </row>
    <row r="85">
      <c r="A85" s="27" t="n"/>
      <c r="B85" s="28" t="n"/>
      <c r="C85" s="27" t="n"/>
      <c r="D85" s="31" t="n"/>
      <c r="E85" s="29" t="n"/>
      <c r="F85" s="33" t="n"/>
      <c r="G85" s="27" t="n"/>
      <c r="H85" s="30" t="str">
        <f>IF(A85="","",IF(G85="Cancelled",0,IF(G85="Received",E85,E85*F85)))</f>
        <v/>
      </c>
      <c r="I85" s="28" t="n"/>
    </row>
    <row r="86">
      <c r="A86" s="27" t="n"/>
      <c r="B86" s="28" t="n"/>
      <c r="C86" s="27" t="n"/>
      <c r="D86" s="31" t="n"/>
      <c r="E86" s="29" t="n"/>
      <c r="F86" s="33" t="n"/>
      <c r="G86" s="27" t="n"/>
      <c r="H86" s="30" t="str">
        <f>IF(A86="","",IF(G86="Cancelled",0,IF(G86="Received",E86,E86*F86)))</f>
        <v/>
      </c>
      <c r="I86" s="28" t="n"/>
    </row>
    <row r="87">
      <c r="A87" s="27" t="n"/>
      <c r="B87" s="28" t="n"/>
      <c r="C87" s="27" t="n"/>
      <c r="D87" s="31" t="n"/>
      <c r="E87" s="29" t="n"/>
      <c r="F87" s="33" t="n"/>
      <c r="G87" s="27" t="n"/>
      <c r="H87" s="30" t="str">
        <f>IF(A87="","",IF(G87="Cancelled",0,IF(G87="Received",E87,E87*F87)))</f>
        <v/>
      </c>
      <c r="I87" s="28" t="n"/>
    </row>
    <row r="88">
      <c r="A88" s="27" t="n"/>
      <c r="B88" s="28" t="n"/>
      <c r="C88" s="27" t="n"/>
      <c r="D88" s="31" t="n"/>
      <c r="E88" s="29" t="n"/>
      <c r="F88" s="33" t="n"/>
      <c r="G88" s="27" t="n"/>
      <c r="H88" s="30" t="str">
        <f>IF(A88="","",IF(G88="Cancelled",0,IF(G88="Received",E88,E88*F88)))</f>
        <v/>
      </c>
      <c r="I88" s="28" t="n"/>
    </row>
    <row r="89">
      <c r="A89" s="27" t="n"/>
      <c r="B89" s="28" t="n"/>
      <c r="C89" s="27" t="n"/>
      <c r="D89" s="31" t="n"/>
      <c r="E89" s="29" t="n"/>
      <c r="F89" s="33" t="n"/>
      <c r="G89" s="27" t="n"/>
      <c r="H89" s="30" t="str">
        <f>IF(A89="","",IF(G89="Cancelled",0,IF(G89="Received",E89,E89*F89)))</f>
        <v/>
      </c>
      <c r="I89" s="28" t="n"/>
    </row>
    <row r="90">
      <c r="A90" s="27" t="n"/>
      <c r="B90" s="28" t="n"/>
      <c r="C90" s="27" t="n"/>
      <c r="D90" s="31" t="n"/>
      <c r="E90" s="29" t="n"/>
      <c r="F90" s="33" t="n"/>
      <c r="G90" s="27" t="n"/>
      <c r="H90" s="30" t="str">
        <f>IF(A90="","",IF(G90="Cancelled",0,IF(G90="Received",E90,E90*F90)))</f>
        <v/>
      </c>
      <c r="I90" s="28" t="n"/>
    </row>
    <row r="91">
      <c r="A91" s="27" t="n"/>
      <c r="B91" s="28" t="n"/>
      <c r="C91" s="27" t="n"/>
      <c r="D91" s="31" t="n"/>
      <c r="E91" s="29" t="n"/>
      <c r="F91" s="33" t="n"/>
      <c r="G91" s="27" t="n"/>
      <c r="H91" s="30" t="str">
        <f>IF(A91="","",IF(G91="Cancelled",0,IF(G91="Received",E91,E91*F91)))</f>
        <v/>
      </c>
      <c r="I91" s="28" t="n"/>
    </row>
    <row r="92">
      <c r="A92" s="27" t="n"/>
      <c r="B92" s="28" t="n"/>
      <c r="C92" s="27" t="n"/>
      <c r="D92" s="31" t="n"/>
      <c r="E92" s="29" t="n"/>
      <c r="F92" s="33" t="n"/>
      <c r="G92" s="27" t="n"/>
      <c r="H92" s="30" t="str">
        <f>IF(A92="","",IF(G92="Cancelled",0,IF(G92="Received",E92,E92*F92)))</f>
        <v/>
      </c>
      <c r="I92" s="28" t="n"/>
    </row>
    <row r="93">
      <c r="A93" s="27" t="n"/>
      <c r="B93" s="28" t="n"/>
      <c r="C93" s="27" t="n"/>
      <c r="D93" s="31" t="n"/>
      <c r="E93" s="29" t="n"/>
      <c r="F93" s="33" t="n"/>
      <c r="G93" s="27" t="n"/>
      <c r="H93" s="30" t="str">
        <f>IF(A93="","",IF(G93="Cancelled",0,IF(G93="Received",E93,E93*F93)))</f>
        <v/>
      </c>
      <c r="I93" s="28" t="n"/>
    </row>
    <row r="94">
      <c r="A94" s="27" t="n"/>
      <c r="B94" s="28" t="n"/>
      <c r="C94" s="27" t="n"/>
      <c r="D94" s="31" t="n"/>
      <c r="E94" s="29" t="n"/>
      <c r="F94" s="33" t="n"/>
      <c r="G94" s="27" t="n"/>
      <c r="H94" s="30" t="str">
        <f>IF(A94="","",IF(G94="Cancelled",0,IF(G94="Received",E94,E94*F94)))</f>
        <v/>
      </c>
      <c r="I94" s="28" t="n"/>
    </row>
    <row r="95">
      <c r="A95" s="27" t="n"/>
      <c r="B95" s="28" t="n"/>
      <c r="C95" s="27" t="n"/>
      <c r="D95" s="31" t="n"/>
      <c r="E95" s="29" t="n"/>
      <c r="F95" s="33" t="n"/>
      <c r="G95" s="27" t="n"/>
      <c r="H95" s="30" t="str">
        <f>IF(A95="","",IF(G95="Cancelled",0,IF(G95="Received",E95,E95*F95)))</f>
        <v/>
      </c>
      <c r="I95" s="28" t="n"/>
    </row>
    <row r="96">
      <c r="A96" s="27" t="n"/>
      <c r="B96" s="28" t="n"/>
      <c r="C96" s="27" t="n"/>
      <c r="D96" s="31" t="n"/>
      <c r="E96" s="29" t="n"/>
      <c r="F96" s="33" t="n"/>
      <c r="G96" s="27" t="n"/>
      <c r="H96" s="30" t="str">
        <f>IF(A96="","",IF(G96="Cancelled",0,IF(G96="Received",E96,E96*F96)))</f>
        <v/>
      </c>
      <c r="I96" s="28" t="n"/>
    </row>
    <row r="97">
      <c r="A97" s="27" t="n"/>
      <c r="B97" s="28" t="n"/>
      <c r="C97" s="27" t="n"/>
      <c r="D97" s="31" t="n"/>
      <c r="E97" s="29" t="n"/>
      <c r="F97" s="33" t="n"/>
      <c r="G97" s="27" t="n"/>
      <c r="H97" s="30" t="str">
        <f>IF(A97="","",IF(G97="Cancelled",0,IF(G97="Received",E97,E97*F97)))</f>
        <v/>
      </c>
      <c r="I97" s="28" t="n"/>
    </row>
    <row r="98">
      <c r="A98" s="27" t="n"/>
      <c r="B98" s="28" t="n"/>
      <c r="C98" s="27" t="n"/>
      <c r="D98" s="31" t="n"/>
      <c r="E98" s="29" t="n"/>
      <c r="F98" s="33" t="n"/>
      <c r="G98" s="27" t="n"/>
      <c r="H98" s="30" t="str">
        <f>IF(A98="","",IF(G98="Cancelled",0,IF(G98="Received",E98,E98*F98)))</f>
        <v/>
      </c>
      <c r="I98" s="28" t="n"/>
    </row>
    <row r="99">
      <c r="A99" s="27" t="n"/>
      <c r="B99" s="28" t="n"/>
      <c r="C99" s="27" t="n"/>
      <c r="D99" s="31" t="n"/>
      <c r="E99" s="29" t="n"/>
      <c r="F99" s="33" t="n"/>
      <c r="G99" s="27" t="n"/>
      <c r="H99" s="30" t="str">
        <f>IF(A99="","",IF(G99="Cancelled",0,IF(G99="Received",E99,E99*F99)))</f>
        <v/>
      </c>
      <c r="I99" s="28" t="n"/>
    </row>
    <row r="100">
      <c r="A100" s="27" t="n"/>
      <c r="B100" s="28" t="n"/>
      <c r="C100" s="27" t="n"/>
      <c r="D100" s="31" t="n"/>
      <c r="E100" s="29" t="n"/>
      <c r="F100" s="33" t="n"/>
      <c r="G100" s="27" t="n"/>
      <c r="H100" s="30" t="str">
        <f>IF(A100="","",IF(G100="Cancelled",0,IF(G100="Received",E100,E100*F100)))</f>
        <v/>
      </c>
      <c r="I100" s="28" t="n"/>
    </row>
    <row r="101">
      <c r="A101" s="27" t="n"/>
      <c r="B101" s="28" t="n"/>
      <c r="C101" s="27" t="n"/>
      <c r="D101" s="31" t="n"/>
      <c r="E101" s="29" t="n"/>
      <c r="F101" s="33" t="n"/>
      <c r="G101" s="27" t="n"/>
      <c r="H101" s="30" t="str">
        <f>IF(A101="","",IF(G101="Cancelled",0,IF(G101="Received",E101,E101*F101)))</f>
        <v/>
      </c>
      <c r="I101" s="28" t="n"/>
    </row>
    <row r="102">
      <c r="A102" s="27" t="n"/>
      <c r="B102" s="28" t="n"/>
      <c r="C102" s="27" t="n"/>
      <c r="D102" s="31" t="n"/>
      <c r="E102" s="29" t="n"/>
      <c r="F102" s="33" t="n"/>
      <c r="G102" s="27" t="n"/>
      <c r="H102" s="30" t="str">
        <f>IF(A102="","",IF(G102="Cancelled",0,IF(G102="Received",E102,E102*F102)))</f>
        <v/>
      </c>
      <c r="I102" s="28" t="n"/>
    </row>
    <row r="103">
      <c r="A103" s="27" t="n"/>
      <c r="B103" s="28" t="n"/>
      <c r="C103" s="27" t="n"/>
      <c r="D103" s="31" t="n"/>
      <c r="E103" s="29" t="n"/>
      <c r="F103" s="33" t="n"/>
      <c r="G103" s="27" t="n"/>
      <c r="H103" s="30" t="str">
        <f>IF(A103="","",IF(G103="Cancelled",0,IF(G103="Received",E103,E103*F103)))</f>
        <v/>
      </c>
      <c r="I103" s="28" t="n"/>
    </row>
    <row r="104">
      <c r="A104" s="27" t="n"/>
      <c r="B104" s="28" t="n"/>
      <c r="C104" s="27" t="n"/>
      <c r="D104" s="31" t="n"/>
      <c r="E104" s="29" t="n"/>
      <c r="F104" s="33" t="n"/>
      <c r="G104" s="27" t="n"/>
      <c r="H104" s="30" t="str">
        <f>IF(A104="","",IF(G104="Cancelled",0,IF(G104="Received",E104,E104*F104)))</f>
        <v/>
      </c>
      <c r="I104" s="28" t="n"/>
    </row>
    <row r="105">
      <c r="A105" s="27" t="n"/>
      <c r="B105" s="28" t="n"/>
      <c r="C105" s="27" t="n"/>
      <c r="D105" s="31" t="n"/>
      <c r="E105" s="29" t="n"/>
      <c r="F105" s="33" t="n"/>
      <c r="G105" s="27" t="n"/>
      <c r="H105" s="30" t="str">
        <f>IF(A105="","",IF(G105="Cancelled",0,IF(G105="Received",E105,E105*F105)))</f>
        <v/>
      </c>
      <c r="I105" s="28" t="n"/>
    </row>
    <row r="106">
      <c r="A106" s="27" t="n"/>
      <c r="B106" s="28" t="n"/>
      <c r="C106" s="27" t="n"/>
      <c r="D106" s="31" t="n"/>
      <c r="E106" s="29" t="n"/>
      <c r="F106" s="33" t="n"/>
      <c r="G106" s="27" t="n"/>
      <c r="H106" s="30" t="str">
        <f>IF(A106="","",IF(G106="Cancelled",0,IF(G106="Received",E106,E106*F106)))</f>
        <v/>
      </c>
      <c r="I106" s="28" t="n"/>
    </row>
  </sheetData>
  <autoFilter ref="A6:I106"/>
  <mergeCells count="2">
    <mergeCell ref="A1:I1"/>
    <mergeCell ref="A2:I2"/>
  </mergeCells>
  <dataValidations count="2">
    <dataValidation sqref="C7:C106" showDropDown="0" showInputMessage="0" showErrorMessage="0" allowBlank="0" type="list">
      <formula1>"Inflow,Outflow"</formula1>
    </dataValidation>
    <dataValidation sqref="G7:G106" showDropDown="0" showInputMessage="0" showErrorMessage="0" allowBlank="0" type="list">
      <formula1>"Expected,Received,Cancelled"</formula1>
    </dataValidation>
  </dataValidations>
  <printOptions horizontalCentered="1"/>
  <pageMargins left="0.25" right="0.25" top="0.4" bottom="0.4" header="0.5" footer="0.5"/>
  <pageSetup orientation="landscape" fitToHeight="0" fitToWidth="1"/>
  <headerFooter>
    <oddHeader/>
    <oddFooter>&amp;CPayout Delay Cash-Flow Early Warning Sheet&amp;RPage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5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8" customWidth="1" min="3" max="3"/>
    <col width="17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7" customWidth="1" min="10" max="10"/>
    <col width="13" customWidth="1" min="11" max="11"/>
    <col width="21" customWidth="1" min="12" max="12"/>
    <col width="22" customWidth="1" min="13" max="13"/>
    <col hidden="1" width="14" customWidth="1" min="14" max="14"/>
  </cols>
  <sheetData>
    <row r="1" ht="34" customHeight="1">
      <c r="A1" s="1" t="inlineStr">
        <is>
          <t>45-Day Cash Forecast</t>
        </is>
      </c>
    </row>
    <row r="2" ht="30" customHeight="1">
      <c r="A2" s="2" t="inlineStr">
        <is>
          <t>Calculated from the three input tabs. Do not type over formulas. The first below-buffer day drives the Dashboard alert.</t>
        </is>
      </c>
    </row>
    <row r="3"/>
    <row r="4"/>
    <row r="5"/>
    <row r="6" ht="34" customHeight="1">
      <c r="A6" s="26" t="inlineStr">
        <is>
          <t>Date</t>
        </is>
      </c>
      <c r="B6" s="26" t="inlineStr">
        <is>
          <t>Opening cash ($)</t>
        </is>
      </c>
      <c r="C6" s="26" t="inlineStr">
        <is>
          <t>Payout inflows ($)</t>
        </is>
      </c>
      <c r="D6" s="26" t="inlineStr">
        <is>
          <t>Other inflows ($)</t>
        </is>
      </c>
      <c r="E6" s="26" t="inlineStr">
        <is>
          <t>Bills outflows ($)</t>
        </is>
      </c>
      <c r="F6" s="26" t="inlineStr">
        <is>
          <t>Other outflows ($)</t>
        </is>
      </c>
      <c r="G6" s="26" t="inlineStr">
        <is>
          <t>Net cash flow ($)</t>
        </is>
      </c>
      <c r="H6" s="26" t="inlineStr">
        <is>
          <t>Closing cash ($)</t>
        </is>
      </c>
      <c r="I6" s="26" t="inlineStr">
        <is>
          <t>Safety buffer ($)</t>
        </is>
      </c>
      <c r="J6" s="26" t="inlineStr">
        <is>
          <t>Buffer gap ($)</t>
        </is>
      </c>
      <c r="K6" s="26" t="inlineStr">
        <is>
          <t>Alert</t>
        </is>
      </c>
      <c r="L6" s="26" t="inlineStr">
        <is>
          <t>Unweighted payouts ($)</t>
        </is>
      </c>
      <c r="M6" s="26" t="inlineStr">
        <is>
          <t>Payout risk haircut ($)</t>
        </is>
      </c>
      <c r="N6" s="26" t="inlineStr">
        <is>
          <t>Warning flag</t>
        </is>
      </c>
    </row>
    <row r="7">
      <c r="A7" s="20" t="n">
        <f>'Start Here'!$C$13+0</f>
        <v>46312</v>
      </c>
      <c r="B7" s="19" t="n">
        <f>'Start Here'!$C$14</f>
        <v>18000</v>
      </c>
      <c r="C7" s="19" t="n">
        <f>SUMIFS(Payouts!$L$7:$L$106,Payouts!$H$7:$H$106,A7)</f>
        <v>0</v>
      </c>
      <c r="D7" s="19" t="n">
        <f>SUMIFS('Other Cash'!$H$7:$H$106,'Other Cash'!$D$7:$D$106,A7,'Other Cash'!$C$7:$C$106,"Inflow")</f>
        <v>0</v>
      </c>
      <c r="E7" s="19" t="n">
        <f>SUMIFS(Bills!$E$7:$E$106,Bills!$J$7:$J$106,A7)</f>
        <v>0</v>
      </c>
      <c r="F7" s="19" t="n">
        <f>SUMIFS('Other Cash'!$H$7:$H$106,'Other Cash'!$D$7:$D$106,A7,'Other Cash'!$C$7:$C$106,"Outflow")</f>
        <v>0</v>
      </c>
      <c r="G7" s="35" t="n">
        <f>C7+D7-E7-F7</f>
        <v>0</v>
      </c>
      <c r="H7" s="35" t="n">
        <f>B7+G7</f>
        <v>18000</v>
      </c>
      <c r="I7" s="19" t="n">
        <f>'Start Here'!$C$15</f>
        <v>12000</v>
      </c>
      <c r="J7" s="35" t="n">
        <f>H7-I7</f>
        <v>6000</v>
      </c>
      <c r="K7" s="36" t="str">
        <f>IF(H7&lt;0,"CRITICAL",IF(H7&lt;I7,"WARNING",IF(H7&lt;I7*1.2,"WATCH","OK")))</f>
        <v>OK</v>
      </c>
      <c r="L7" s="19" t="n">
        <f>SUMIFS(Payouts!$E$7:$E$106,Payouts!$H$7:$H$106,A7)</f>
        <v>0</v>
      </c>
      <c r="M7" s="35" t="n">
        <f>L7-C7</f>
        <v>0</v>
      </c>
      <c r="N7" s="37" t="n">
        <f>IF(H7&lt;I7,1,0)</f>
        <v>0</v>
      </c>
    </row>
    <row r="8">
      <c r="A8" s="20" t="n">
        <f>'Start Here'!$C$13+1</f>
        <v>46313</v>
      </c>
      <c r="B8" s="19" t="n">
        <f>H7</f>
        <v>18000</v>
      </c>
      <c r="C8" s="19" t="n">
        <f>SUMIFS(Payouts!$L$7:$L$106,Payouts!$H$7:$H$106,A8)</f>
        <v>0</v>
      </c>
      <c r="D8" s="19" t="n">
        <f>SUMIFS('Other Cash'!$H$7:$H$106,'Other Cash'!$D$7:$D$106,A8,'Other Cash'!$C$7:$C$106,"Inflow")</f>
        <v>0</v>
      </c>
      <c r="E8" s="19" t="n">
        <f>SUMIFS(Bills!$E$7:$E$106,Bills!$J$7:$J$106,A8)</f>
        <v>0</v>
      </c>
      <c r="F8" s="19" t="n">
        <f>SUMIFS('Other Cash'!$H$7:$H$106,'Other Cash'!$D$7:$D$106,A8,'Other Cash'!$C$7:$C$106,"Outflow")</f>
        <v>0</v>
      </c>
      <c r="G8" s="35" t="n">
        <f>C8+D8-E8-F8</f>
        <v>0</v>
      </c>
      <c r="H8" s="35" t="n">
        <f>B8+G8</f>
        <v>18000</v>
      </c>
      <c r="I8" s="19" t="n">
        <f>'Start Here'!$C$15</f>
        <v>12000</v>
      </c>
      <c r="J8" s="35" t="n">
        <f>H8-I8</f>
        <v>6000</v>
      </c>
      <c r="K8" s="36" t="str">
        <f>IF(H8&lt;0,"CRITICAL",IF(H8&lt;I8,"WARNING",IF(H8&lt;I8*1.2,"WATCH","OK")))</f>
        <v>OK</v>
      </c>
      <c r="L8" s="19" t="n">
        <f>SUMIFS(Payouts!$E$7:$E$106,Payouts!$H$7:$H$106,A8)</f>
        <v>0</v>
      </c>
      <c r="M8" s="35" t="n">
        <f>L8-C8</f>
        <v>0</v>
      </c>
      <c r="N8" s="37" t="n">
        <f>IF(H8&lt;I8,1,0)</f>
        <v>0</v>
      </c>
    </row>
    <row r="9">
      <c r="A9" s="20" t="n">
        <f>'Start Here'!$C$13+2</f>
        <v>46314</v>
      </c>
      <c r="B9" s="19" t="n">
        <f>H8</f>
        <v>18000</v>
      </c>
      <c r="C9" s="19" t="n">
        <f>SUMIFS(Payouts!$L$7:$L$106,Payouts!$H$7:$H$106,A9)</f>
        <v>0</v>
      </c>
      <c r="D9" s="19" t="n">
        <f>SUMIFS('Other Cash'!$H$7:$H$106,'Other Cash'!$D$7:$D$106,A9,'Other Cash'!$C$7:$C$106,"Inflow")</f>
        <v>0</v>
      </c>
      <c r="E9" s="19" t="n">
        <f>SUMIFS(Bills!$E$7:$E$106,Bills!$J$7:$J$106,A9)</f>
        <v>10000</v>
      </c>
      <c r="F9" s="19" t="n">
        <f>SUMIFS('Other Cash'!$H$7:$H$106,'Other Cash'!$D$7:$D$106,A9,'Other Cash'!$C$7:$C$106,"Outflow")</f>
        <v>0</v>
      </c>
      <c r="G9" s="35" t="n">
        <f>C9+D9-E9-F9</f>
        <v>-10000</v>
      </c>
      <c r="H9" s="35" t="n">
        <f>B9+G9</f>
        <v>8000</v>
      </c>
      <c r="I9" s="19" t="n">
        <f>'Start Here'!$C$15</f>
        <v>12000</v>
      </c>
      <c r="J9" s="35" t="n">
        <f>H9-I9</f>
        <v>-4000</v>
      </c>
      <c r="K9" s="36" t="str">
        <f>IF(H9&lt;0,"CRITICAL",IF(H9&lt;I9,"WARNING",IF(H9&lt;I9*1.2,"WATCH","OK")))</f>
        <v>WARNING</v>
      </c>
      <c r="L9" s="19" t="n">
        <f>SUMIFS(Payouts!$E$7:$E$106,Payouts!$H$7:$H$106,A9)</f>
        <v>0</v>
      </c>
      <c r="M9" s="35" t="n">
        <f>L9-C9</f>
        <v>0</v>
      </c>
      <c r="N9" s="37" t="n">
        <f>IF(H9&lt;I9,1,0)</f>
        <v>1</v>
      </c>
    </row>
    <row r="10">
      <c r="A10" s="20" t="n">
        <f>'Start Here'!$C$13+3</f>
        <v>46315</v>
      </c>
      <c r="B10" s="19" t="n">
        <f>H9</f>
        <v>8000</v>
      </c>
      <c r="C10" s="19" t="n">
        <f>SUMIFS(Payouts!$L$7:$L$106,Payouts!$H$7:$H$106,A10)</f>
        <v>8245</v>
      </c>
      <c r="D10" s="19" t="n">
        <f>SUMIFS('Other Cash'!$H$7:$H$106,'Other Cash'!$D$7:$D$106,A10,'Other Cash'!$C$7:$C$106,"Inflow")</f>
        <v>0</v>
      </c>
      <c r="E10" s="19" t="n">
        <f>SUMIFS(Bills!$E$7:$E$106,Bills!$J$7:$J$106,A10)</f>
        <v>0</v>
      </c>
      <c r="F10" s="19" t="n">
        <f>SUMIFS('Other Cash'!$H$7:$H$106,'Other Cash'!$D$7:$D$106,A10,'Other Cash'!$C$7:$C$106,"Outflow")</f>
        <v>0</v>
      </c>
      <c r="G10" s="35" t="n">
        <f>C10+D10-E10-F10</f>
        <v>8245</v>
      </c>
      <c r="H10" s="35" t="n">
        <f>B10+G10</f>
        <v>16245</v>
      </c>
      <c r="I10" s="19" t="n">
        <f>'Start Here'!$C$15</f>
        <v>12000</v>
      </c>
      <c r="J10" s="35" t="n">
        <f>H10-I10</f>
        <v>4245</v>
      </c>
      <c r="K10" s="36" t="str">
        <f>IF(H10&lt;0,"CRITICAL",IF(H10&lt;I10,"WARNING",IF(H10&lt;I10*1.2,"WATCH","OK")))</f>
        <v>OK</v>
      </c>
      <c r="L10" s="19" t="n">
        <f>SUMIFS(Payouts!$E$7:$E$106,Payouts!$H$7:$H$106,A10)</f>
        <v>8245</v>
      </c>
      <c r="M10" s="35" t="n">
        <f>L10-C10</f>
        <v>0</v>
      </c>
      <c r="N10" s="37" t="n">
        <f>IF(H10&lt;I10,1,0)</f>
        <v>0</v>
      </c>
    </row>
    <row r="11">
      <c r="A11" s="20" t="n">
        <f>'Start Here'!$C$13+4</f>
        <v>46316</v>
      </c>
      <c r="B11" s="19" t="n">
        <f>H10</f>
        <v>16245</v>
      </c>
      <c r="C11" s="19" t="n">
        <f>SUMIFS(Payouts!$L$7:$L$106,Payouts!$H$7:$H$106,A11)</f>
        <v>0</v>
      </c>
      <c r="D11" s="19" t="n">
        <f>SUMIFS('Other Cash'!$H$7:$H$106,'Other Cash'!$D$7:$D$106,A11,'Other Cash'!$C$7:$C$106,"Inflow")</f>
        <v>1200</v>
      </c>
      <c r="E11" s="19" t="n">
        <f>SUMIFS(Bills!$E$7:$E$106,Bills!$J$7:$J$106,A11)</f>
        <v>0</v>
      </c>
      <c r="F11" s="19" t="n">
        <f>SUMIFS('Other Cash'!$H$7:$H$106,'Other Cash'!$D$7:$D$106,A11,'Other Cash'!$C$7:$C$106,"Outflow")</f>
        <v>0</v>
      </c>
      <c r="G11" s="35" t="n">
        <f>C11+D11-E11-F11</f>
        <v>1200</v>
      </c>
      <c r="H11" s="35" t="n">
        <f>B11+G11</f>
        <v>17445</v>
      </c>
      <c r="I11" s="19" t="n">
        <f>'Start Here'!$C$15</f>
        <v>12000</v>
      </c>
      <c r="J11" s="35" t="n">
        <f>H11-I11</f>
        <v>5445</v>
      </c>
      <c r="K11" s="36" t="str">
        <f>IF(H11&lt;0,"CRITICAL",IF(H11&lt;I11,"WARNING",IF(H11&lt;I11*1.2,"WATCH","OK")))</f>
        <v>OK</v>
      </c>
      <c r="L11" s="19" t="n">
        <f>SUMIFS(Payouts!$E$7:$E$106,Payouts!$H$7:$H$106,A11)</f>
        <v>0</v>
      </c>
      <c r="M11" s="35" t="n">
        <f>L11-C11</f>
        <v>0</v>
      </c>
      <c r="N11" s="37" t="n">
        <f>IF(H11&lt;I11,1,0)</f>
        <v>0</v>
      </c>
    </row>
    <row r="12">
      <c r="A12" s="20" t="n">
        <f>'Start Here'!$C$13+5</f>
        <v>46317</v>
      </c>
      <c r="B12" s="19" t="n">
        <f>H11</f>
        <v>17445</v>
      </c>
      <c r="C12" s="19" t="n">
        <f>SUMIFS(Payouts!$L$7:$L$106,Payouts!$H$7:$H$106,A12)</f>
        <v>0</v>
      </c>
      <c r="D12" s="19" t="n">
        <f>SUMIFS('Other Cash'!$H$7:$H$106,'Other Cash'!$D$7:$D$106,A12,'Other Cash'!$C$7:$C$106,"Inflow")</f>
        <v>0</v>
      </c>
      <c r="E12" s="19" t="n">
        <f>SUMIFS(Bills!$E$7:$E$106,Bills!$J$7:$J$106,A12)</f>
        <v>0</v>
      </c>
      <c r="F12" s="19" t="n">
        <f>SUMIFS('Other Cash'!$H$7:$H$106,'Other Cash'!$D$7:$D$106,A12,'Other Cash'!$C$7:$C$106,"Outflow")</f>
        <v>0</v>
      </c>
      <c r="G12" s="35" t="n">
        <f>C12+D12-E12-F12</f>
        <v>0</v>
      </c>
      <c r="H12" s="35" t="n">
        <f>B12+G12</f>
        <v>17445</v>
      </c>
      <c r="I12" s="19" t="n">
        <f>'Start Here'!$C$15</f>
        <v>12000</v>
      </c>
      <c r="J12" s="35" t="n">
        <f>H12-I12</f>
        <v>5445</v>
      </c>
      <c r="K12" s="36" t="str">
        <f>IF(H12&lt;0,"CRITICAL",IF(H12&lt;I12,"WARNING",IF(H12&lt;I12*1.2,"WATCH","OK")))</f>
        <v>OK</v>
      </c>
      <c r="L12" s="19" t="n">
        <f>SUMIFS(Payouts!$E$7:$E$106,Payouts!$H$7:$H$106,A12)</f>
        <v>0</v>
      </c>
      <c r="M12" s="35" t="n">
        <f>L12-C12</f>
        <v>0</v>
      </c>
      <c r="N12" s="37" t="n">
        <f>IF(H12&lt;I12,1,0)</f>
        <v>0</v>
      </c>
    </row>
    <row r="13">
      <c r="A13" s="20" t="n">
        <f>'Start Here'!$C$13+6</f>
        <v>46318</v>
      </c>
      <c r="B13" s="19" t="n">
        <f>H12</f>
        <v>17445</v>
      </c>
      <c r="C13" s="19" t="n">
        <f>SUMIFS(Payouts!$L$7:$L$106,Payouts!$H$7:$H$106,A13)</f>
        <v>0</v>
      </c>
      <c r="D13" s="19" t="n">
        <f>SUMIFS('Other Cash'!$H$7:$H$106,'Other Cash'!$D$7:$D$106,A13,'Other Cash'!$C$7:$C$106,"Inflow")</f>
        <v>0</v>
      </c>
      <c r="E13" s="19" t="n">
        <f>SUMIFS(Bills!$E$7:$E$106,Bills!$J$7:$J$106,A13)</f>
        <v>0</v>
      </c>
      <c r="F13" s="19" t="n">
        <f>SUMIFS('Other Cash'!$H$7:$H$106,'Other Cash'!$D$7:$D$106,A13,'Other Cash'!$C$7:$C$106,"Outflow")</f>
        <v>0</v>
      </c>
      <c r="G13" s="35" t="n">
        <f>C13+D13-E13-F13</f>
        <v>0</v>
      </c>
      <c r="H13" s="35" t="n">
        <f>B13+G13</f>
        <v>17445</v>
      </c>
      <c r="I13" s="19" t="n">
        <f>'Start Here'!$C$15</f>
        <v>12000</v>
      </c>
      <c r="J13" s="35" t="n">
        <f>H13-I13</f>
        <v>5445</v>
      </c>
      <c r="K13" s="36" t="str">
        <f>IF(H13&lt;0,"CRITICAL",IF(H13&lt;I13,"WARNING",IF(H13&lt;I13*1.2,"WATCH","OK")))</f>
        <v>OK</v>
      </c>
      <c r="L13" s="19" t="n">
        <f>SUMIFS(Payouts!$E$7:$E$106,Payouts!$H$7:$H$106,A13)</f>
        <v>0</v>
      </c>
      <c r="M13" s="35" t="n">
        <f>L13-C13</f>
        <v>0</v>
      </c>
      <c r="N13" s="37" t="n">
        <f>IF(H13&lt;I13,1,0)</f>
        <v>0</v>
      </c>
    </row>
    <row r="14">
      <c r="A14" s="20" t="n">
        <f>'Start Here'!$C$13+7</f>
        <v>46319</v>
      </c>
      <c r="B14" s="19" t="n">
        <f>H13</f>
        <v>17445</v>
      </c>
      <c r="C14" s="19" t="n">
        <f>SUMIFS(Payouts!$L$7:$L$106,Payouts!$H$7:$H$106,A14)</f>
        <v>0</v>
      </c>
      <c r="D14" s="19" t="n">
        <f>SUMIFS('Other Cash'!$H$7:$H$106,'Other Cash'!$D$7:$D$106,A14,'Other Cash'!$C$7:$C$106,"Inflow")</f>
        <v>0</v>
      </c>
      <c r="E14" s="19" t="n">
        <f>SUMIFS(Bills!$E$7:$E$106,Bills!$J$7:$J$106,A14)</f>
        <v>0</v>
      </c>
      <c r="F14" s="19" t="n">
        <f>SUMIFS('Other Cash'!$H$7:$H$106,'Other Cash'!$D$7:$D$106,A14,'Other Cash'!$C$7:$C$106,"Outflow")</f>
        <v>0</v>
      </c>
      <c r="G14" s="35" t="n">
        <f>C14+D14-E14-F14</f>
        <v>0</v>
      </c>
      <c r="H14" s="35" t="n">
        <f>B14+G14</f>
        <v>17445</v>
      </c>
      <c r="I14" s="19" t="n">
        <f>'Start Here'!$C$15</f>
        <v>12000</v>
      </c>
      <c r="J14" s="35" t="n">
        <f>H14-I14</f>
        <v>5445</v>
      </c>
      <c r="K14" s="36" t="str">
        <f>IF(H14&lt;0,"CRITICAL",IF(H14&lt;I14,"WARNING",IF(H14&lt;I14*1.2,"WATCH","OK")))</f>
        <v>OK</v>
      </c>
      <c r="L14" s="19" t="n">
        <f>SUMIFS(Payouts!$E$7:$E$106,Payouts!$H$7:$H$106,A14)</f>
        <v>0</v>
      </c>
      <c r="M14" s="35" t="n">
        <f>L14-C14</f>
        <v>0</v>
      </c>
      <c r="N14" s="37" t="n">
        <f>IF(H14&lt;I14,1,0)</f>
        <v>0</v>
      </c>
    </row>
    <row r="15">
      <c r="A15" s="20" t="n">
        <f>'Start Here'!$C$13+8</f>
        <v>46320</v>
      </c>
      <c r="B15" s="19" t="n">
        <f>H14</f>
        <v>17445</v>
      </c>
      <c r="C15" s="19" t="n">
        <f>SUMIFS(Payouts!$L$7:$L$106,Payouts!$H$7:$H$106,A15)</f>
        <v>0</v>
      </c>
      <c r="D15" s="19" t="n">
        <f>SUMIFS('Other Cash'!$H$7:$H$106,'Other Cash'!$D$7:$D$106,A15,'Other Cash'!$C$7:$C$106,"Inflow")</f>
        <v>0</v>
      </c>
      <c r="E15" s="19" t="n">
        <f>SUMIFS(Bills!$E$7:$E$106,Bills!$J$7:$J$106,A15)</f>
        <v>0</v>
      </c>
      <c r="F15" s="19" t="n">
        <f>SUMIFS('Other Cash'!$H$7:$H$106,'Other Cash'!$D$7:$D$106,A15,'Other Cash'!$C$7:$C$106,"Outflow")</f>
        <v>0</v>
      </c>
      <c r="G15" s="35" t="n">
        <f>C15+D15-E15-F15</f>
        <v>0</v>
      </c>
      <c r="H15" s="35" t="n">
        <f>B15+G15</f>
        <v>17445</v>
      </c>
      <c r="I15" s="19" t="n">
        <f>'Start Here'!$C$15</f>
        <v>12000</v>
      </c>
      <c r="J15" s="35" t="n">
        <f>H15-I15</f>
        <v>5445</v>
      </c>
      <c r="K15" s="36" t="str">
        <f>IF(H15&lt;0,"CRITICAL",IF(H15&lt;I15,"WARNING",IF(H15&lt;I15*1.2,"WATCH","OK")))</f>
        <v>OK</v>
      </c>
      <c r="L15" s="19" t="n">
        <f>SUMIFS(Payouts!$E$7:$E$106,Payouts!$H$7:$H$106,A15)</f>
        <v>0</v>
      </c>
      <c r="M15" s="35" t="n">
        <f>L15-C15</f>
        <v>0</v>
      </c>
      <c r="N15" s="37" t="n">
        <f>IF(H15&lt;I15,1,0)</f>
        <v>0</v>
      </c>
    </row>
    <row r="16">
      <c r="A16" s="20" t="n">
        <f>'Start Here'!$C$13+9</f>
        <v>46321</v>
      </c>
      <c r="B16" s="19" t="n">
        <f>H15</f>
        <v>17445</v>
      </c>
      <c r="C16" s="19" t="n">
        <f>SUMIFS(Payouts!$L$7:$L$106,Payouts!$H$7:$H$106,A16)</f>
        <v>0</v>
      </c>
      <c r="D16" s="19" t="n">
        <f>SUMIFS('Other Cash'!$H$7:$H$106,'Other Cash'!$D$7:$D$106,A16,'Other Cash'!$C$7:$C$106,"Inflow")</f>
        <v>0</v>
      </c>
      <c r="E16" s="19" t="n">
        <f>SUMIFS(Bills!$E$7:$E$106,Bills!$J$7:$J$106,A16)</f>
        <v>0</v>
      </c>
      <c r="F16" s="19" t="n">
        <f>SUMIFS('Other Cash'!$H$7:$H$106,'Other Cash'!$D$7:$D$106,A16,'Other Cash'!$C$7:$C$106,"Outflow")</f>
        <v>0</v>
      </c>
      <c r="G16" s="35" t="n">
        <f>C16+D16-E16-F16</f>
        <v>0</v>
      </c>
      <c r="H16" s="35" t="n">
        <f>B16+G16</f>
        <v>17445</v>
      </c>
      <c r="I16" s="19" t="n">
        <f>'Start Here'!$C$15</f>
        <v>12000</v>
      </c>
      <c r="J16" s="35" t="n">
        <f>H16-I16</f>
        <v>5445</v>
      </c>
      <c r="K16" s="36" t="str">
        <f>IF(H16&lt;0,"CRITICAL",IF(H16&lt;I16,"WARNING",IF(H16&lt;I16*1.2,"WATCH","OK")))</f>
        <v>OK</v>
      </c>
      <c r="L16" s="19" t="n">
        <f>SUMIFS(Payouts!$E$7:$E$106,Payouts!$H$7:$H$106,A16)</f>
        <v>0</v>
      </c>
      <c r="M16" s="35" t="n">
        <f>L16-C16</f>
        <v>0</v>
      </c>
      <c r="N16" s="37" t="n">
        <f>IF(H16&lt;I16,1,0)</f>
        <v>0</v>
      </c>
    </row>
    <row r="17">
      <c r="A17" s="20" t="n">
        <f>'Start Here'!$C$13+10</f>
        <v>46322</v>
      </c>
      <c r="B17" s="19" t="n">
        <f>H16</f>
        <v>17445</v>
      </c>
      <c r="C17" s="19" t="n">
        <f>SUMIFS(Payouts!$L$7:$L$106,Payouts!$H$7:$H$106,A17)</f>
        <v>0</v>
      </c>
      <c r="D17" s="19" t="n">
        <f>SUMIFS('Other Cash'!$H$7:$H$106,'Other Cash'!$D$7:$D$106,A17,'Other Cash'!$C$7:$C$106,"Inflow")</f>
        <v>0</v>
      </c>
      <c r="E17" s="19" t="n">
        <f>SUMIFS(Bills!$E$7:$E$106,Bills!$J$7:$J$106,A17)</f>
        <v>0</v>
      </c>
      <c r="F17" s="19" t="n">
        <f>SUMIFS('Other Cash'!$H$7:$H$106,'Other Cash'!$D$7:$D$106,A17,'Other Cash'!$C$7:$C$106,"Outflow")</f>
        <v>0</v>
      </c>
      <c r="G17" s="35" t="n">
        <f>C17+D17-E17-F17</f>
        <v>0</v>
      </c>
      <c r="H17" s="35" t="n">
        <f>B17+G17</f>
        <v>17445</v>
      </c>
      <c r="I17" s="19" t="n">
        <f>'Start Here'!$C$15</f>
        <v>12000</v>
      </c>
      <c r="J17" s="35" t="n">
        <f>H17-I17</f>
        <v>5445</v>
      </c>
      <c r="K17" s="36" t="str">
        <f>IF(H17&lt;0,"CRITICAL",IF(H17&lt;I17,"WARNING",IF(H17&lt;I17*1.2,"WATCH","OK")))</f>
        <v>OK</v>
      </c>
      <c r="L17" s="19" t="n">
        <f>SUMIFS(Payouts!$E$7:$E$106,Payouts!$H$7:$H$106,A17)</f>
        <v>0</v>
      </c>
      <c r="M17" s="35" t="n">
        <f>L17-C17</f>
        <v>0</v>
      </c>
      <c r="N17" s="37" t="n">
        <f>IF(H17&lt;I17,1,0)</f>
        <v>0</v>
      </c>
    </row>
    <row r="18">
      <c r="A18" s="20" t="n">
        <f>'Start Here'!$C$13+11</f>
        <v>46323</v>
      </c>
      <c r="B18" s="19" t="n">
        <f>H17</f>
        <v>17445</v>
      </c>
      <c r="C18" s="19" t="n">
        <f>SUMIFS(Payouts!$L$7:$L$106,Payouts!$H$7:$H$106,A18)</f>
        <v>0</v>
      </c>
      <c r="D18" s="19" t="n">
        <f>SUMIFS('Other Cash'!$H$7:$H$106,'Other Cash'!$D$7:$D$106,A18,'Other Cash'!$C$7:$C$106,"Inflow")</f>
        <v>0</v>
      </c>
      <c r="E18" s="19" t="n">
        <f>SUMIFS(Bills!$E$7:$E$106,Bills!$J$7:$J$106,A18)</f>
        <v>0</v>
      </c>
      <c r="F18" s="19" t="n">
        <f>SUMIFS('Other Cash'!$H$7:$H$106,'Other Cash'!$D$7:$D$106,A18,'Other Cash'!$C$7:$C$106,"Outflow")</f>
        <v>0</v>
      </c>
      <c r="G18" s="35" t="n">
        <f>C18+D18-E18-F18</f>
        <v>0</v>
      </c>
      <c r="H18" s="35" t="n">
        <f>B18+G18</f>
        <v>17445</v>
      </c>
      <c r="I18" s="19" t="n">
        <f>'Start Here'!$C$15</f>
        <v>12000</v>
      </c>
      <c r="J18" s="35" t="n">
        <f>H18-I18</f>
        <v>5445</v>
      </c>
      <c r="K18" s="36" t="str">
        <f>IF(H18&lt;0,"CRITICAL",IF(H18&lt;I18,"WARNING",IF(H18&lt;I18*1.2,"WATCH","OK")))</f>
        <v>OK</v>
      </c>
      <c r="L18" s="19" t="n">
        <f>SUMIFS(Payouts!$E$7:$E$106,Payouts!$H$7:$H$106,A18)</f>
        <v>0</v>
      </c>
      <c r="M18" s="35" t="n">
        <f>L18-C18</f>
        <v>0</v>
      </c>
      <c r="N18" s="37" t="n">
        <f>IF(H18&lt;I18,1,0)</f>
        <v>0</v>
      </c>
    </row>
    <row r="19">
      <c r="A19" s="20" t="n">
        <f>'Start Here'!$C$13+12</f>
        <v>46324</v>
      </c>
      <c r="B19" s="19" t="n">
        <f>H18</f>
        <v>17445</v>
      </c>
      <c r="C19" s="19" t="n">
        <f>SUMIFS(Payouts!$L$7:$L$106,Payouts!$H$7:$H$106,A19)</f>
        <v>0</v>
      </c>
      <c r="D19" s="19" t="n">
        <f>SUMIFS('Other Cash'!$H$7:$H$106,'Other Cash'!$D$7:$D$106,A19,'Other Cash'!$C$7:$C$106,"Inflow")</f>
        <v>0</v>
      </c>
      <c r="E19" s="19" t="n">
        <f>SUMIFS(Bills!$E$7:$E$106,Bills!$J$7:$J$106,A19)</f>
        <v>0</v>
      </c>
      <c r="F19" s="19" t="n">
        <f>SUMIFS('Other Cash'!$H$7:$H$106,'Other Cash'!$D$7:$D$106,A19,'Other Cash'!$C$7:$C$106,"Outflow")</f>
        <v>0</v>
      </c>
      <c r="G19" s="35" t="n">
        <f>C19+D19-E19-F19</f>
        <v>0</v>
      </c>
      <c r="H19" s="35" t="n">
        <f>B19+G19</f>
        <v>17445</v>
      </c>
      <c r="I19" s="19" t="n">
        <f>'Start Here'!$C$15</f>
        <v>12000</v>
      </c>
      <c r="J19" s="35" t="n">
        <f>H19-I19</f>
        <v>5445</v>
      </c>
      <c r="K19" s="36" t="str">
        <f>IF(H19&lt;0,"CRITICAL",IF(H19&lt;I19,"WARNING",IF(H19&lt;I19*1.2,"WATCH","OK")))</f>
        <v>OK</v>
      </c>
      <c r="L19" s="19" t="n">
        <f>SUMIFS(Payouts!$E$7:$E$106,Payouts!$H$7:$H$106,A19)</f>
        <v>0</v>
      </c>
      <c r="M19" s="35" t="n">
        <f>L19-C19</f>
        <v>0</v>
      </c>
      <c r="N19" s="37" t="n">
        <f>IF(H19&lt;I19,1,0)</f>
        <v>0</v>
      </c>
    </row>
    <row r="20">
      <c r="A20" s="20" t="n">
        <f>'Start Here'!$C$13+13</f>
        <v>46325</v>
      </c>
      <c r="B20" s="19" t="n">
        <f>H19</f>
        <v>17445</v>
      </c>
      <c r="C20" s="19" t="n">
        <f>SUMIFS(Payouts!$L$7:$L$106,Payouts!$H$7:$H$106,A20)</f>
        <v>0</v>
      </c>
      <c r="D20" s="19" t="n">
        <f>SUMIFS('Other Cash'!$H$7:$H$106,'Other Cash'!$D$7:$D$106,A20,'Other Cash'!$C$7:$C$106,"Inflow")</f>
        <v>0</v>
      </c>
      <c r="E20" s="19" t="n">
        <f>SUMIFS(Bills!$E$7:$E$106,Bills!$J$7:$J$106,A20)</f>
        <v>0</v>
      </c>
      <c r="F20" s="19" t="n">
        <f>SUMIFS('Other Cash'!$H$7:$H$106,'Other Cash'!$D$7:$D$106,A20,'Other Cash'!$C$7:$C$106,"Outflow")</f>
        <v>0</v>
      </c>
      <c r="G20" s="35" t="n">
        <f>C20+D20-E20-F20</f>
        <v>0</v>
      </c>
      <c r="H20" s="35" t="n">
        <f>B20+G20</f>
        <v>17445</v>
      </c>
      <c r="I20" s="19" t="n">
        <f>'Start Here'!$C$15</f>
        <v>12000</v>
      </c>
      <c r="J20" s="35" t="n">
        <f>H20-I20</f>
        <v>5445</v>
      </c>
      <c r="K20" s="36" t="str">
        <f>IF(H20&lt;0,"CRITICAL",IF(H20&lt;I20,"WARNING",IF(H20&lt;I20*1.2,"WATCH","OK")))</f>
        <v>OK</v>
      </c>
      <c r="L20" s="19" t="n">
        <f>SUMIFS(Payouts!$E$7:$E$106,Payouts!$H$7:$H$106,A20)</f>
        <v>0</v>
      </c>
      <c r="M20" s="35" t="n">
        <f>L20-C20</f>
        <v>0</v>
      </c>
      <c r="N20" s="37" t="n">
        <f>IF(H20&lt;I20,1,0)</f>
        <v>0</v>
      </c>
    </row>
    <row r="21">
      <c r="A21" s="20" t="n">
        <f>'Start Here'!$C$13+14</f>
        <v>46326</v>
      </c>
      <c r="B21" s="19" t="n">
        <f>H20</f>
        <v>17445</v>
      </c>
      <c r="C21" s="19" t="n">
        <f>SUMIFS(Payouts!$L$7:$L$106,Payouts!$H$7:$H$106,A21)</f>
        <v>0</v>
      </c>
      <c r="D21" s="19" t="n">
        <f>SUMIFS('Other Cash'!$H$7:$H$106,'Other Cash'!$D$7:$D$106,A21,'Other Cash'!$C$7:$C$106,"Inflow")</f>
        <v>0</v>
      </c>
      <c r="E21" s="19" t="n">
        <f>SUMIFS(Bills!$E$7:$E$106,Bills!$J$7:$J$106,A21)</f>
        <v>0</v>
      </c>
      <c r="F21" s="19" t="n">
        <f>SUMIFS('Other Cash'!$H$7:$H$106,'Other Cash'!$D$7:$D$106,A21,'Other Cash'!$C$7:$C$106,"Outflow")</f>
        <v>0</v>
      </c>
      <c r="G21" s="35" t="n">
        <f>C21+D21-E21-F21</f>
        <v>0</v>
      </c>
      <c r="H21" s="35" t="n">
        <f>B21+G21</f>
        <v>17445</v>
      </c>
      <c r="I21" s="19" t="n">
        <f>'Start Here'!$C$15</f>
        <v>12000</v>
      </c>
      <c r="J21" s="35" t="n">
        <f>H21-I21</f>
        <v>5445</v>
      </c>
      <c r="K21" s="36" t="str">
        <f>IF(H21&lt;0,"CRITICAL",IF(H21&lt;I21,"WARNING",IF(H21&lt;I21*1.2,"WATCH","OK")))</f>
        <v>OK</v>
      </c>
      <c r="L21" s="19" t="n">
        <f>SUMIFS(Payouts!$E$7:$E$106,Payouts!$H$7:$H$106,A21)</f>
        <v>0</v>
      </c>
      <c r="M21" s="35" t="n">
        <f>L21-C21</f>
        <v>0</v>
      </c>
      <c r="N21" s="37" t="n">
        <f>IF(H21&lt;I21,1,0)</f>
        <v>0</v>
      </c>
    </row>
    <row r="22">
      <c r="A22" s="20" t="n">
        <f>'Start Here'!$C$13+15</f>
        <v>46327</v>
      </c>
      <c r="B22" s="19" t="n">
        <f>H21</f>
        <v>17445</v>
      </c>
      <c r="C22" s="19" t="n">
        <f>SUMIFS(Payouts!$L$7:$L$106,Payouts!$H$7:$H$106,A22)</f>
        <v>0</v>
      </c>
      <c r="D22" s="19" t="n">
        <f>SUMIFS('Other Cash'!$H$7:$H$106,'Other Cash'!$D$7:$D$106,A22,'Other Cash'!$C$7:$C$106,"Inflow")</f>
        <v>0</v>
      </c>
      <c r="E22" s="19" t="n">
        <f>SUMIFS(Bills!$E$7:$E$106,Bills!$J$7:$J$106,A22)</f>
        <v>0</v>
      </c>
      <c r="F22" s="19" t="n">
        <f>SUMIFS('Other Cash'!$H$7:$H$106,'Other Cash'!$D$7:$D$106,A22,'Other Cash'!$C$7:$C$106,"Outflow")</f>
        <v>0</v>
      </c>
      <c r="G22" s="35" t="n">
        <f>C22+D22-E22-F22</f>
        <v>0</v>
      </c>
      <c r="H22" s="35" t="n">
        <f>B22+G22</f>
        <v>17445</v>
      </c>
      <c r="I22" s="19" t="n">
        <f>'Start Here'!$C$15</f>
        <v>12000</v>
      </c>
      <c r="J22" s="35" t="n">
        <f>H22-I22</f>
        <v>5445</v>
      </c>
      <c r="K22" s="36" t="str">
        <f>IF(H22&lt;0,"CRITICAL",IF(H22&lt;I22,"WARNING",IF(H22&lt;I22*1.2,"WATCH","OK")))</f>
        <v>OK</v>
      </c>
      <c r="L22" s="19" t="n">
        <f>SUMIFS(Payouts!$E$7:$E$106,Payouts!$H$7:$H$106,A22)</f>
        <v>0</v>
      </c>
      <c r="M22" s="35" t="n">
        <f>L22-C22</f>
        <v>0</v>
      </c>
      <c r="N22" s="37" t="n">
        <f>IF(H22&lt;I22,1,0)</f>
        <v>0</v>
      </c>
    </row>
    <row r="23">
      <c r="A23" s="20" t="n">
        <f>'Start Here'!$C$13+16</f>
        <v>46328</v>
      </c>
      <c r="B23" s="19" t="n">
        <f>H22</f>
        <v>17445</v>
      </c>
      <c r="C23" s="19" t="n">
        <f>SUMIFS(Payouts!$L$7:$L$106,Payouts!$H$7:$H$106,A23)</f>
        <v>0</v>
      </c>
      <c r="D23" s="19" t="n">
        <f>SUMIFS('Other Cash'!$H$7:$H$106,'Other Cash'!$D$7:$D$106,A23,'Other Cash'!$C$7:$C$106,"Inflow")</f>
        <v>0</v>
      </c>
      <c r="E23" s="19" t="n">
        <f>SUMIFS(Bills!$E$7:$E$106,Bills!$J$7:$J$106,A23)</f>
        <v>0</v>
      </c>
      <c r="F23" s="19" t="n">
        <f>SUMIFS('Other Cash'!$H$7:$H$106,'Other Cash'!$D$7:$D$106,A23,'Other Cash'!$C$7:$C$106,"Outflow")</f>
        <v>0</v>
      </c>
      <c r="G23" s="35" t="n">
        <f>C23+D23-E23-F23</f>
        <v>0</v>
      </c>
      <c r="H23" s="35" t="n">
        <f>B23+G23</f>
        <v>17445</v>
      </c>
      <c r="I23" s="19" t="n">
        <f>'Start Here'!$C$15</f>
        <v>12000</v>
      </c>
      <c r="J23" s="35" t="n">
        <f>H23-I23</f>
        <v>5445</v>
      </c>
      <c r="K23" s="36" t="str">
        <f>IF(H23&lt;0,"CRITICAL",IF(H23&lt;I23,"WARNING",IF(H23&lt;I23*1.2,"WATCH","OK")))</f>
        <v>OK</v>
      </c>
      <c r="L23" s="19" t="n">
        <f>SUMIFS(Payouts!$E$7:$E$106,Payouts!$H$7:$H$106,A23)</f>
        <v>0</v>
      </c>
      <c r="M23" s="35" t="n">
        <f>L23-C23</f>
        <v>0</v>
      </c>
      <c r="N23" s="37" t="n">
        <f>IF(H23&lt;I23,1,0)</f>
        <v>0</v>
      </c>
    </row>
    <row r="24">
      <c r="A24" s="20" t="n">
        <f>'Start Here'!$C$13+17</f>
        <v>46329</v>
      </c>
      <c r="B24" s="19" t="n">
        <f>H23</f>
        <v>17445</v>
      </c>
      <c r="C24" s="19" t="n">
        <f>SUMIFS(Payouts!$L$7:$L$106,Payouts!$H$7:$H$106,A24)</f>
        <v>0</v>
      </c>
      <c r="D24" s="19" t="n">
        <f>SUMIFS('Other Cash'!$H$7:$H$106,'Other Cash'!$D$7:$D$106,A24,'Other Cash'!$C$7:$C$106,"Inflow")</f>
        <v>0</v>
      </c>
      <c r="E24" s="19" t="n">
        <f>SUMIFS(Bills!$E$7:$E$106,Bills!$J$7:$J$106,A24)</f>
        <v>0</v>
      </c>
      <c r="F24" s="19" t="n">
        <f>SUMIFS('Other Cash'!$H$7:$H$106,'Other Cash'!$D$7:$D$106,A24,'Other Cash'!$C$7:$C$106,"Outflow")</f>
        <v>0</v>
      </c>
      <c r="G24" s="35" t="n">
        <f>C24+D24-E24-F24</f>
        <v>0</v>
      </c>
      <c r="H24" s="35" t="n">
        <f>B24+G24</f>
        <v>17445</v>
      </c>
      <c r="I24" s="19" t="n">
        <f>'Start Here'!$C$15</f>
        <v>12000</v>
      </c>
      <c r="J24" s="35" t="n">
        <f>H24-I24</f>
        <v>5445</v>
      </c>
      <c r="K24" s="36" t="str">
        <f>IF(H24&lt;0,"CRITICAL",IF(H24&lt;I24,"WARNING",IF(H24&lt;I24*1.2,"WATCH","OK")))</f>
        <v>OK</v>
      </c>
      <c r="L24" s="19" t="n">
        <f>SUMIFS(Payouts!$E$7:$E$106,Payouts!$H$7:$H$106,A24)</f>
        <v>0</v>
      </c>
      <c r="M24" s="35" t="n">
        <f>L24-C24</f>
        <v>0</v>
      </c>
      <c r="N24" s="37" t="n">
        <f>IF(H24&lt;I24,1,0)</f>
        <v>0</v>
      </c>
    </row>
    <row r="25">
      <c r="A25" s="20" t="n">
        <f>'Start Here'!$C$13+18</f>
        <v>46330</v>
      </c>
      <c r="B25" s="19" t="n">
        <f>H24</f>
        <v>17445</v>
      </c>
      <c r="C25" s="19" t="n">
        <f>SUMIFS(Payouts!$L$7:$L$106,Payouts!$H$7:$H$106,A25)</f>
        <v>0</v>
      </c>
      <c r="D25" s="19" t="n">
        <f>SUMIFS('Other Cash'!$H$7:$H$106,'Other Cash'!$D$7:$D$106,A25,'Other Cash'!$C$7:$C$106,"Inflow")</f>
        <v>0</v>
      </c>
      <c r="E25" s="19" t="n">
        <f>SUMIFS(Bills!$E$7:$E$106,Bills!$J$7:$J$106,A25)</f>
        <v>0</v>
      </c>
      <c r="F25" s="19" t="n">
        <f>SUMIFS('Other Cash'!$H$7:$H$106,'Other Cash'!$D$7:$D$106,A25,'Other Cash'!$C$7:$C$106,"Outflow")</f>
        <v>0</v>
      </c>
      <c r="G25" s="35" t="n">
        <f>C25+D25-E25-F25</f>
        <v>0</v>
      </c>
      <c r="H25" s="35" t="n">
        <f>B25+G25</f>
        <v>17445</v>
      </c>
      <c r="I25" s="19" t="n">
        <f>'Start Here'!$C$15</f>
        <v>12000</v>
      </c>
      <c r="J25" s="35" t="n">
        <f>H25-I25</f>
        <v>5445</v>
      </c>
      <c r="K25" s="36" t="str">
        <f>IF(H25&lt;0,"CRITICAL",IF(H25&lt;I25,"WARNING",IF(H25&lt;I25*1.2,"WATCH","OK")))</f>
        <v>OK</v>
      </c>
      <c r="L25" s="19" t="n">
        <f>SUMIFS(Payouts!$E$7:$E$106,Payouts!$H$7:$H$106,A25)</f>
        <v>0</v>
      </c>
      <c r="M25" s="35" t="n">
        <f>L25-C25</f>
        <v>0</v>
      </c>
      <c r="N25" s="37" t="n">
        <f>IF(H25&lt;I25,1,0)</f>
        <v>0</v>
      </c>
    </row>
    <row r="26">
      <c r="A26" s="20" t="n">
        <f>'Start Here'!$C$13+19</f>
        <v>46331</v>
      </c>
      <c r="B26" s="19" t="n">
        <f>H25</f>
        <v>17445</v>
      </c>
      <c r="C26" s="19" t="n">
        <f>SUMIFS(Payouts!$L$7:$L$106,Payouts!$H$7:$H$106,A26)</f>
        <v>0</v>
      </c>
      <c r="D26" s="19" t="n">
        <f>SUMIFS('Other Cash'!$H$7:$H$106,'Other Cash'!$D$7:$D$106,A26,'Other Cash'!$C$7:$C$106,"Inflow")</f>
        <v>0</v>
      </c>
      <c r="E26" s="19" t="n">
        <f>SUMIFS(Bills!$E$7:$E$106,Bills!$J$7:$J$106,A26)</f>
        <v>0</v>
      </c>
      <c r="F26" s="19" t="n">
        <f>SUMIFS('Other Cash'!$H$7:$H$106,'Other Cash'!$D$7:$D$106,A26,'Other Cash'!$C$7:$C$106,"Outflow")</f>
        <v>0</v>
      </c>
      <c r="G26" s="35" t="n">
        <f>C26+D26-E26-F26</f>
        <v>0</v>
      </c>
      <c r="H26" s="35" t="n">
        <f>B26+G26</f>
        <v>17445</v>
      </c>
      <c r="I26" s="19" t="n">
        <f>'Start Here'!$C$15</f>
        <v>12000</v>
      </c>
      <c r="J26" s="35" t="n">
        <f>H26-I26</f>
        <v>5445</v>
      </c>
      <c r="K26" s="36" t="str">
        <f>IF(H26&lt;0,"CRITICAL",IF(H26&lt;I26,"WARNING",IF(H26&lt;I26*1.2,"WATCH","OK")))</f>
        <v>OK</v>
      </c>
      <c r="L26" s="19" t="n">
        <f>SUMIFS(Payouts!$E$7:$E$106,Payouts!$H$7:$H$106,A26)</f>
        <v>0</v>
      </c>
      <c r="M26" s="35" t="n">
        <f>L26-C26</f>
        <v>0</v>
      </c>
      <c r="N26" s="37" t="n">
        <f>IF(H26&lt;I26,1,0)</f>
        <v>0</v>
      </c>
    </row>
    <row r="27">
      <c r="A27" s="20" t="n">
        <f>'Start Here'!$C$13+20</f>
        <v>46332</v>
      </c>
      <c r="B27" s="19" t="n">
        <f>H26</f>
        <v>17445</v>
      </c>
      <c r="C27" s="19" t="n">
        <f>SUMIFS(Payouts!$L$7:$L$106,Payouts!$H$7:$H$106,A27)</f>
        <v>0</v>
      </c>
      <c r="D27" s="19" t="n">
        <f>SUMIFS('Other Cash'!$H$7:$H$106,'Other Cash'!$D$7:$D$106,A27,'Other Cash'!$C$7:$C$106,"Inflow")</f>
        <v>0</v>
      </c>
      <c r="E27" s="19" t="n">
        <f>SUMIFS(Bills!$E$7:$E$106,Bills!$J$7:$J$106,A27)</f>
        <v>0</v>
      </c>
      <c r="F27" s="19" t="n">
        <f>SUMIFS('Other Cash'!$H$7:$H$106,'Other Cash'!$D$7:$D$106,A27,'Other Cash'!$C$7:$C$106,"Outflow")</f>
        <v>0</v>
      </c>
      <c r="G27" s="35" t="n">
        <f>C27+D27-E27-F27</f>
        <v>0</v>
      </c>
      <c r="H27" s="35" t="n">
        <f>B27+G27</f>
        <v>17445</v>
      </c>
      <c r="I27" s="19" t="n">
        <f>'Start Here'!$C$15</f>
        <v>12000</v>
      </c>
      <c r="J27" s="35" t="n">
        <f>H27-I27</f>
        <v>5445</v>
      </c>
      <c r="K27" s="36" t="str">
        <f>IF(H27&lt;0,"CRITICAL",IF(H27&lt;I27,"WARNING",IF(H27&lt;I27*1.2,"WATCH","OK")))</f>
        <v>OK</v>
      </c>
      <c r="L27" s="19" t="n">
        <f>SUMIFS(Payouts!$E$7:$E$106,Payouts!$H$7:$H$106,A27)</f>
        <v>0</v>
      </c>
      <c r="M27" s="35" t="n">
        <f>L27-C27</f>
        <v>0</v>
      </c>
      <c r="N27" s="37" t="n">
        <f>IF(H27&lt;I27,1,0)</f>
        <v>0</v>
      </c>
    </row>
    <row r="28">
      <c r="A28" s="20" t="n">
        <f>'Start Here'!$C$13+21</f>
        <v>46333</v>
      </c>
      <c r="B28" s="19" t="n">
        <f>H27</f>
        <v>17445</v>
      </c>
      <c r="C28" s="19" t="n">
        <f>SUMIFS(Payouts!$L$7:$L$106,Payouts!$H$7:$H$106,A28)</f>
        <v>0</v>
      </c>
      <c r="D28" s="19" t="n">
        <f>SUMIFS('Other Cash'!$H$7:$H$106,'Other Cash'!$D$7:$D$106,A28,'Other Cash'!$C$7:$C$106,"Inflow")</f>
        <v>0</v>
      </c>
      <c r="E28" s="19" t="n">
        <f>SUMIFS(Bills!$E$7:$E$106,Bills!$J$7:$J$106,A28)</f>
        <v>0</v>
      </c>
      <c r="F28" s="19" t="n">
        <f>SUMIFS('Other Cash'!$H$7:$H$106,'Other Cash'!$D$7:$D$106,A28,'Other Cash'!$C$7:$C$106,"Outflow")</f>
        <v>0</v>
      </c>
      <c r="G28" s="35" t="n">
        <f>C28+D28-E28-F28</f>
        <v>0</v>
      </c>
      <c r="H28" s="35" t="n">
        <f>B28+G28</f>
        <v>17445</v>
      </c>
      <c r="I28" s="19" t="n">
        <f>'Start Here'!$C$15</f>
        <v>12000</v>
      </c>
      <c r="J28" s="35" t="n">
        <f>H28-I28</f>
        <v>5445</v>
      </c>
      <c r="K28" s="36" t="str">
        <f>IF(H28&lt;0,"CRITICAL",IF(H28&lt;I28,"WARNING",IF(H28&lt;I28*1.2,"WATCH","OK")))</f>
        <v>OK</v>
      </c>
      <c r="L28" s="19" t="n">
        <f>SUMIFS(Payouts!$E$7:$E$106,Payouts!$H$7:$H$106,A28)</f>
        <v>0</v>
      </c>
      <c r="M28" s="35" t="n">
        <f>L28-C28</f>
        <v>0</v>
      </c>
      <c r="N28" s="37" t="n">
        <f>IF(H28&lt;I28,1,0)</f>
        <v>0</v>
      </c>
    </row>
    <row r="29">
      <c r="A29" s="20" t="n">
        <f>'Start Here'!$C$13+22</f>
        <v>46334</v>
      </c>
      <c r="B29" s="19" t="n">
        <f>H28</f>
        <v>17445</v>
      </c>
      <c r="C29" s="19" t="n">
        <f>SUMIFS(Payouts!$L$7:$L$106,Payouts!$H$7:$H$106,A29)</f>
        <v>0</v>
      </c>
      <c r="D29" s="19" t="n">
        <f>SUMIFS('Other Cash'!$H$7:$H$106,'Other Cash'!$D$7:$D$106,A29,'Other Cash'!$C$7:$C$106,"Inflow")</f>
        <v>0</v>
      </c>
      <c r="E29" s="19" t="n">
        <f>SUMIFS(Bills!$E$7:$E$106,Bills!$J$7:$J$106,A29)</f>
        <v>0</v>
      </c>
      <c r="F29" s="19" t="n">
        <f>SUMIFS('Other Cash'!$H$7:$H$106,'Other Cash'!$D$7:$D$106,A29,'Other Cash'!$C$7:$C$106,"Outflow")</f>
        <v>0</v>
      </c>
      <c r="G29" s="35" t="n">
        <f>C29+D29-E29-F29</f>
        <v>0</v>
      </c>
      <c r="H29" s="35" t="n">
        <f>B29+G29</f>
        <v>17445</v>
      </c>
      <c r="I29" s="19" t="n">
        <f>'Start Here'!$C$15</f>
        <v>12000</v>
      </c>
      <c r="J29" s="35" t="n">
        <f>H29-I29</f>
        <v>5445</v>
      </c>
      <c r="K29" s="36" t="str">
        <f>IF(H29&lt;0,"CRITICAL",IF(H29&lt;I29,"WARNING",IF(H29&lt;I29*1.2,"WATCH","OK")))</f>
        <v>OK</v>
      </c>
      <c r="L29" s="19" t="n">
        <f>SUMIFS(Payouts!$E$7:$E$106,Payouts!$H$7:$H$106,A29)</f>
        <v>0</v>
      </c>
      <c r="M29" s="35" t="n">
        <f>L29-C29</f>
        <v>0</v>
      </c>
      <c r="N29" s="37" t="n">
        <f>IF(H29&lt;I29,1,0)</f>
        <v>0</v>
      </c>
    </row>
    <row r="30">
      <c r="A30" s="20" t="n">
        <f>'Start Here'!$C$13+23</f>
        <v>46335</v>
      </c>
      <c r="B30" s="19" t="n">
        <f>H29</f>
        <v>17445</v>
      </c>
      <c r="C30" s="19" t="n">
        <f>SUMIFS(Payouts!$L$7:$L$106,Payouts!$H$7:$H$106,A30)</f>
        <v>0</v>
      </c>
      <c r="D30" s="19" t="n">
        <f>SUMIFS('Other Cash'!$H$7:$H$106,'Other Cash'!$D$7:$D$106,A30,'Other Cash'!$C$7:$C$106,"Inflow")</f>
        <v>0</v>
      </c>
      <c r="E30" s="19" t="n">
        <f>SUMIFS(Bills!$E$7:$E$106,Bills!$J$7:$J$106,A30)</f>
        <v>0</v>
      </c>
      <c r="F30" s="19" t="n">
        <f>SUMIFS('Other Cash'!$H$7:$H$106,'Other Cash'!$D$7:$D$106,A30,'Other Cash'!$C$7:$C$106,"Outflow")</f>
        <v>0</v>
      </c>
      <c r="G30" s="35" t="n">
        <f>C30+D30-E30-F30</f>
        <v>0</v>
      </c>
      <c r="H30" s="35" t="n">
        <f>B30+G30</f>
        <v>17445</v>
      </c>
      <c r="I30" s="19" t="n">
        <f>'Start Here'!$C$15</f>
        <v>12000</v>
      </c>
      <c r="J30" s="35" t="n">
        <f>H30-I30</f>
        <v>5445</v>
      </c>
      <c r="K30" s="36" t="str">
        <f>IF(H30&lt;0,"CRITICAL",IF(H30&lt;I30,"WARNING",IF(H30&lt;I30*1.2,"WATCH","OK")))</f>
        <v>OK</v>
      </c>
      <c r="L30" s="19" t="n">
        <f>SUMIFS(Payouts!$E$7:$E$106,Payouts!$H$7:$H$106,A30)</f>
        <v>0</v>
      </c>
      <c r="M30" s="35" t="n">
        <f>L30-C30</f>
        <v>0</v>
      </c>
      <c r="N30" s="37" t="n">
        <f>IF(H30&lt;I30,1,0)</f>
        <v>0</v>
      </c>
    </row>
    <row r="31">
      <c r="A31" s="20" t="n">
        <f>'Start Here'!$C$13+24</f>
        <v>46336</v>
      </c>
      <c r="B31" s="19" t="n">
        <f>H30</f>
        <v>17445</v>
      </c>
      <c r="C31" s="19" t="n">
        <f>SUMIFS(Payouts!$L$7:$L$106,Payouts!$H$7:$H$106,A31)</f>
        <v>0</v>
      </c>
      <c r="D31" s="19" t="n">
        <f>SUMIFS('Other Cash'!$H$7:$H$106,'Other Cash'!$D$7:$D$106,A31,'Other Cash'!$C$7:$C$106,"Inflow")</f>
        <v>0</v>
      </c>
      <c r="E31" s="19" t="n">
        <f>SUMIFS(Bills!$E$7:$E$106,Bills!$J$7:$J$106,A31)</f>
        <v>0</v>
      </c>
      <c r="F31" s="19" t="n">
        <f>SUMIFS('Other Cash'!$H$7:$H$106,'Other Cash'!$D$7:$D$106,A31,'Other Cash'!$C$7:$C$106,"Outflow")</f>
        <v>0</v>
      </c>
      <c r="G31" s="35" t="n">
        <f>C31+D31-E31-F31</f>
        <v>0</v>
      </c>
      <c r="H31" s="35" t="n">
        <f>B31+G31</f>
        <v>17445</v>
      </c>
      <c r="I31" s="19" t="n">
        <f>'Start Here'!$C$15</f>
        <v>12000</v>
      </c>
      <c r="J31" s="35" t="n">
        <f>H31-I31</f>
        <v>5445</v>
      </c>
      <c r="K31" s="36" t="str">
        <f>IF(H31&lt;0,"CRITICAL",IF(H31&lt;I31,"WARNING",IF(H31&lt;I31*1.2,"WATCH","OK")))</f>
        <v>OK</v>
      </c>
      <c r="L31" s="19" t="n">
        <f>SUMIFS(Payouts!$E$7:$E$106,Payouts!$H$7:$H$106,A31)</f>
        <v>0</v>
      </c>
      <c r="M31" s="35" t="n">
        <f>L31-C31</f>
        <v>0</v>
      </c>
      <c r="N31" s="37" t="n">
        <f>IF(H31&lt;I31,1,0)</f>
        <v>0</v>
      </c>
    </row>
    <row r="32">
      <c r="A32" s="20" t="n">
        <f>'Start Here'!$C$13+25</f>
        <v>46337</v>
      </c>
      <c r="B32" s="19" t="n">
        <f>H31</f>
        <v>17445</v>
      </c>
      <c r="C32" s="19" t="n">
        <f>SUMIFS(Payouts!$L$7:$L$106,Payouts!$H$7:$H$106,A32)</f>
        <v>0</v>
      </c>
      <c r="D32" s="19" t="n">
        <f>SUMIFS('Other Cash'!$H$7:$H$106,'Other Cash'!$D$7:$D$106,A32,'Other Cash'!$C$7:$C$106,"Inflow")</f>
        <v>0</v>
      </c>
      <c r="E32" s="19" t="n">
        <f>SUMIFS(Bills!$E$7:$E$106,Bills!$J$7:$J$106,A32)</f>
        <v>0</v>
      </c>
      <c r="F32" s="19" t="n">
        <f>SUMIFS('Other Cash'!$H$7:$H$106,'Other Cash'!$D$7:$D$106,A32,'Other Cash'!$C$7:$C$106,"Outflow")</f>
        <v>0</v>
      </c>
      <c r="G32" s="35" t="n">
        <f>C32+D32-E32-F32</f>
        <v>0</v>
      </c>
      <c r="H32" s="35" t="n">
        <f>B32+G32</f>
        <v>17445</v>
      </c>
      <c r="I32" s="19" t="n">
        <f>'Start Here'!$C$15</f>
        <v>12000</v>
      </c>
      <c r="J32" s="35" t="n">
        <f>H32-I32</f>
        <v>5445</v>
      </c>
      <c r="K32" s="36" t="str">
        <f>IF(H32&lt;0,"CRITICAL",IF(H32&lt;I32,"WARNING",IF(H32&lt;I32*1.2,"WATCH","OK")))</f>
        <v>OK</v>
      </c>
      <c r="L32" s="19" t="n">
        <f>SUMIFS(Payouts!$E$7:$E$106,Payouts!$H$7:$H$106,A32)</f>
        <v>0</v>
      </c>
      <c r="M32" s="35" t="n">
        <f>L32-C32</f>
        <v>0</v>
      </c>
      <c r="N32" s="37" t="n">
        <f>IF(H32&lt;I32,1,0)</f>
        <v>0</v>
      </c>
    </row>
    <row r="33">
      <c r="A33" s="20" t="n">
        <f>'Start Here'!$C$13+26</f>
        <v>46338</v>
      </c>
      <c r="B33" s="19" t="n">
        <f>H32</f>
        <v>17445</v>
      </c>
      <c r="C33" s="19" t="n">
        <f>SUMIFS(Payouts!$L$7:$L$106,Payouts!$H$7:$H$106,A33)</f>
        <v>0</v>
      </c>
      <c r="D33" s="19" t="n">
        <f>SUMIFS('Other Cash'!$H$7:$H$106,'Other Cash'!$D$7:$D$106,A33,'Other Cash'!$C$7:$C$106,"Inflow")</f>
        <v>0</v>
      </c>
      <c r="E33" s="19" t="n">
        <f>SUMIFS(Bills!$E$7:$E$106,Bills!$J$7:$J$106,A33)</f>
        <v>0</v>
      </c>
      <c r="F33" s="19" t="n">
        <f>SUMIFS('Other Cash'!$H$7:$H$106,'Other Cash'!$D$7:$D$106,A33,'Other Cash'!$C$7:$C$106,"Outflow")</f>
        <v>0</v>
      </c>
      <c r="G33" s="35" t="n">
        <f>C33+D33-E33-F33</f>
        <v>0</v>
      </c>
      <c r="H33" s="35" t="n">
        <f>B33+G33</f>
        <v>17445</v>
      </c>
      <c r="I33" s="19" t="n">
        <f>'Start Here'!$C$15</f>
        <v>12000</v>
      </c>
      <c r="J33" s="35" t="n">
        <f>H33-I33</f>
        <v>5445</v>
      </c>
      <c r="K33" s="36" t="str">
        <f>IF(H33&lt;0,"CRITICAL",IF(H33&lt;I33,"WARNING",IF(H33&lt;I33*1.2,"WATCH","OK")))</f>
        <v>OK</v>
      </c>
      <c r="L33" s="19" t="n">
        <f>SUMIFS(Payouts!$E$7:$E$106,Payouts!$H$7:$H$106,A33)</f>
        <v>0</v>
      </c>
      <c r="M33" s="35" t="n">
        <f>L33-C33</f>
        <v>0</v>
      </c>
      <c r="N33" s="37" t="n">
        <f>IF(H33&lt;I33,1,0)</f>
        <v>0</v>
      </c>
    </row>
    <row r="34">
      <c r="A34" s="20" t="n">
        <f>'Start Here'!$C$13+27</f>
        <v>46339</v>
      </c>
      <c r="B34" s="19" t="n">
        <f>H33</f>
        <v>17445</v>
      </c>
      <c r="C34" s="19" t="n">
        <f>SUMIFS(Payouts!$L$7:$L$106,Payouts!$H$7:$H$106,A34)</f>
        <v>0</v>
      </c>
      <c r="D34" s="19" t="n">
        <f>SUMIFS('Other Cash'!$H$7:$H$106,'Other Cash'!$D$7:$D$106,A34,'Other Cash'!$C$7:$C$106,"Inflow")</f>
        <v>0</v>
      </c>
      <c r="E34" s="19" t="n">
        <f>SUMIFS(Bills!$E$7:$E$106,Bills!$J$7:$J$106,A34)</f>
        <v>0</v>
      </c>
      <c r="F34" s="19" t="n">
        <f>SUMIFS('Other Cash'!$H$7:$H$106,'Other Cash'!$D$7:$D$106,A34,'Other Cash'!$C$7:$C$106,"Outflow")</f>
        <v>0</v>
      </c>
      <c r="G34" s="35" t="n">
        <f>C34+D34-E34-F34</f>
        <v>0</v>
      </c>
      <c r="H34" s="35" t="n">
        <f>B34+G34</f>
        <v>17445</v>
      </c>
      <c r="I34" s="19" t="n">
        <f>'Start Here'!$C$15</f>
        <v>12000</v>
      </c>
      <c r="J34" s="35" t="n">
        <f>H34-I34</f>
        <v>5445</v>
      </c>
      <c r="K34" s="36" t="str">
        <f>IF(H34&lt;0,"CRITICAL",IF(H34&lt;I34,"WARNING",IF(H34&lt;I34*1.2,"WATCH","OK")))</f>
        <v>OK</v>
      </c>
      <c r="L34" s="19" t="n">
        <f>SUMIFS(Payouts!$E$7:$E$106,Payouts!$H$7:$H$106,A34)</f>
        <v>0</v>
      </c>
      <c r="M34" s="35" t="n">
        <f>L34-C34</f>
        <v>0</v>
      </c>
      <c r="N34" s="37" t="n">
        <f>IF(H34&lt;I34,1,0)</f>
        <v>0</v>
      </c>
    </row>
    <row r="35">
      <c r="A35" s="20" t="n">
        <f>'Start Here'!$C$13+28</f>
        <v>46340</v>
      </c>
      <c r="B35" s="19" t="n">
        <f>H34</f>
        <v>17445</v>
      </c>
      <c r="C35" s="19" t="n">
        <f>SUMIFS(Payouts!$L$7:$L$106,Payouts!$H$7:$H$106,A35)</f>
        <v>0</v>
      </c>
      <c r="D35" s="19" t="n">
        <f>SUMIFS('Other Cash'!$H$7:$H$106,'Other Cash'!$D$7:$D$106,A35,'Other Cash'!$C$7:$C$106,"Inflow")</f>
        <v>0</v>
      </c>
      <c r="E35" s="19" t="n">
        <f>SUMIFS(Bills!$E$7:$E$106,Bills!$J$7:$J$106,A35)</f>
        <v>0</v>
      </c>
      <c r="F35" s="19" t="n">
        <f>SUMIFS('Other Cash'!$H$7:$H$106,'Other Cash'!$D$7:$D$106,A35,'Other Cash'!$C$7:$C$106,"Outflow")</f>
        <v>0</v>
      </c>
      <c r="G35" s="35" t="n">
        <f>C35+D35-E35-F35</f>
        <v>0</v>
      </c>
      <c r="H35" s="35" t="n">
        <f>B35+G35</f>
        <v>17445</v>
      </c>
      <c r="I35" s="19" t="n">
        <f>'Start Here'!$C$15</f>
        <v>12000</v>
      </c>
      <c r="J35" s="35" t="n">
        <f>H35-I35</f>
        <v>5445</v>
      </c>
      <c r="K35" s="36" t="str">
        <f>IF(H35&lt;0,"CRITICAL",IF(H35&lt;I35,"WARNING",IF(H35&lt;I35*1.2,"WATCH","OK")))</f>
        <v>OK</v>
      </c>
      <c r="L35" s="19" t="n">
        <f>SUMIFS(Payouts!$E$7:$E$106,Payouts!$H$7:$H$106,A35)</f>
        <v>0</v>
      </c>
      <c r="M35" s="35" t="n">
        <f>L35-C35</f>
        <v>0</v>
      </c>
      <c r="N35" s="37" t="n">
        <f>IF(H35&lt;I35,1,0)</f>
        <v>0</v>
      </c>
    </row>
    <row r="36">
      <c r="A36" s="20" t="n">
        <f>'Start Here'!$C$13+29</f>
        <v>46341</v>
      </c>
      <c r="B36" s="19" t="n">
        <f>H35</f>
        <v>17445</v>
      </c>
      <c r="C36" s="19" t="n">
        <f>SUMIFS(Payouts!$L$7:$L$106,Payouts!$H$7:$H$106,A36)</f>
        <v>0</v>
      </c>
      <c r="D36" s="19" t="n">
        <f>SUMIFS('Other Cash'!$H$7:$H$106,'Other Cash'!$D$7:$D$106,A36,'Other Cash'!$C$7:$C$106,"Inflow")</f>
        <v>0</v>
      </c>
      <c r="E36" s="19" t="n">
        <f>SUMIFS(Bills!$E$7:$E$106,Bills!$J$7:$J$106,A36)</f>
        <v>0</v>
      </c>
      <c r="F36" s="19" t="n">
        <f>SUMIFS('Other Cash'!$H$7:$H$106,'Other Cash'!$D$7:$D$106,A36,'Other Cash'!$C$7:$C$106,"Outflow")</f>
        <v>0</v>
      </c>
      <c r="G36" s="35" t="n">
        <f>C36+D36-E36-F36</f>
        <v>0</v>
      </c>
      <c r="H36" s="35" t="n">
        <f>B36+G36</f>
        <v>17445</v>
      </c>
      <c r="I36" s="19" t="n">
        <f>'Start Here'!$C$15</f>
        <v>12000</v>
      </c>
      <c r="J36" s="35" t="n">
        <f>H36-I36</f>
        <v>5445</v>
      </c>
      <c r="K36" s="36" t="str">
        <f>IF(H36&lt;0,"CRITICAL",IF(H36&lt;I36,"WARNING",IF(H36&lt;I36*1.2,"WATCH","OK")))</f>
        <v>OK</v>
      </c>
      <c r="L36" s="19" t="n">
        <f>SUMIFS(Payouts!$E$7:$E$106,Payouts!$H$7:$H$106,A36)</f>
        <v>0</v>
      </c>
      <c r="M36" s="35" t="n">
        <f>L36-C36</f>
        <v>0</v>
      </c>
      <c r="N36" s="37" t="n">
        <f>IF(H36&lt;I36,1,0)</f>
        <v>0</v>
      </c>
    </row>
    <row r="37">
      <c r="A37" s="20" t="n">
        <f>'Start Here'!$C$13+30</f>
        <v>46342</v>
      </c>
      <c r="B37" s="19" t="n">
        <f>H36</f>
        <v>17445</v>
      </c>
      <c r="C37" s="19" t="n">
        <f>SUMIFS(Payouts!$L$7:$L$106,Payouts!$H$7:$H$106,A37)</f>
        <v>0</v>
      </c>
      <c r="D37" s="19" t="n">
        <f>SUMIFS('Other Cash'!$H$7:$H$106,'Other Cash'!$D$7:$D$106,A37,'Other Cash'!$C$7:$C$106,"Inflow")</f>
        <v>0</v>
      </c>
      <c r="E37" s="19" t="n">
        <f>SUMIFS(Bills!$E$7:$E$106,Bills!$J$7:$J$106,A37)</f>
        <v>0</v>
      </c>
      <c r="F37" s="19" t="n">
        <f>SUMIFS('Other Cash'!$H$7:$H$106,'Other Cash'!$D$7:$D$106,A37,'Other Cash'!$C$7:$C$106,"Outflow")</f>
        <v>0</v>
      </c>
      <c r="G37" s="35" t="n">
        <f>C37+D37-E37-F37</f>
        <v>0</v>
      </c>
      <c r="H37" s="35" t="n">
        <f>B37+G37</f>
        <v>17445</v>
      </c>
      <c r="I37" s="19" t="n">
        <f>'Start Here'!$C$15</f>
        <v>12000</v>
      </c>
      <c r="J37" s="35" t="n">
        <f>H37-I37</f>
        <v>5445</v>
      </c>
      <c r="K37" s="36" t="str">
        <f>IF(H37&lt;0,"CRITICAL",IF(H37&lt;I37,"WARNING",IF(H37&lt;I37*1.2,"WATCH","OK")))</f>
        <v>OK</v>
      </c>
      <c r="L37" s="19" t="n">
        <f>SUMIFS(Payouts!$E$7:$E$106,Payouts!$H$7:$H$106,A37)</f>
        <v>0</v>
      </c>
      <c r="M37" s="35" t="n">
        <f>L37-C37</f>
        <v>0</v>
      </c>
      <c r="N37" s="37" t="n">
        <f>IF(H37&lt;I37,1,0)</f>
        <v>0</v>
      </c>
    </row>
    <row r="38">
      <c r="A38" s="20" t="n">
        <f>'Start Here'!$C$13+31</f>
        <v>46343</v>
      </c>
      <c r="B38" s="19" t="n">
        <f>H37</f>
        <v>17445</v>
      </c>
      <c r="C38" s="19" t="n">
        <f>SUMIFS(Payouts!$L$7:$L$106,Payouts!$H$7:$H$106,A38)</f>
        <v>0</v>
      </c>
      <c r="D38" s="19" t="n">
        <f>SUMIFS('Other Cash'!$H$7:$H$106,'Other Cash'!$D$7:$D$106,A38,'Other Cash'!$C$7:$C$106,"Inflow")</f>
        <v>0</v>
      </c>
      <c r="E38" s="19" t="n">
        <f>SUMIFS(Bills!$E$7:$E$106,Bills!$J$7:$J$106,A38)</f>
        <v>0</v>
      </c>
      <c r="F38" s="19" t="n">
        <f>SUMIFS('Other Cash'!$H$7:$H$106,'Other Cash'!$D$7:$D$106,A38,'Other Cash'!$C$7:$C$106,"Outflow")</f>
        <v>0</v>
      </c>
      <c r="G38" s="35" t="n">
        <f>C38+D38-E38-F38</f>
        <v>0</v>
      </c>
      <c r="H38" s="35" t="n">
        <f>B38+G38</f>
        <v>17445</v>
      </c>
      <c r="I38" s="19" t="n">
        <f>'Start Here'!$C$15</f>
        <v>12000</v>
      </c>
      <c r="J38" s="35" t="n">
        <f>H38-I38</f>
        <v>5445</v>
      </c>
      <c r="K38" s="36" t="str">
        <f>IF(H38&lt;0,"CRITICAL",IF(H38&lt;I38,"WARNING",IF(H38&lt;I38*1.2,"WATCH","OK")))</f>
        <v>OK</v>
      </c>
      <c r="L38" s="19" t="n">
        <f>SUMIFS(Payouts!$E$7:$E$106,Payouts!$H$7:$H$106,A38)</f>
        <v>0</v>
      </c>
      <c r="M38" s="35" t="n">
        <f>L38-C38</f>
        <v>0</v>
      </c>
      <c r="N38" s="37" t="n">
        <f>IF(H38&lt;I38,1,0)</f>
        <v>0</v>
      </c>
    </row>
    <row r="39">
      <c r="A39" s="20" t="n">
        <f>'Start Here'!$C$13+32</f>
        <v>46344</v>
      </c>
      <c r="B39" s="19" t="n">
        <f>H38</f>
        <v>17445</v>
      </c>
      <c r="C39" s="19" t="n">
        <f>SUMIFS(Payouts!$L$7:$L$106,Payouts!$H$7:$H$106,A39)</f>
        <v>0</v>
      </c>
      <c r="D39" s="19" t="n">
        <f>SUMIFS('Other Cash'!$H$7:$H$106,'Other Cash'!$D$7:$D$106,A39,'Other Cash'!$C$7:$C$106,"Inflow")</f>
        <v>0</v>
      </c>
      <c r="E39" s="19" t="n">
        <f>SUMIFS(Bills!$E$7:$E$106,Bills!$J$7:$J$106,A39)</f>
        <v>0</v>
      </c>
      <c r="F39" s="19" t="n">
        <f>SUMIFS('Other Cash'!$H$7:$H$106,'Other Cash'!$D$7:$D$106,A39,'Other Cash'!$C$7:$C$106,"Outflow")</f>
        <v>0</v>
      </c>
      <c r="G39" s="35" t="n">
        <f>C39+D39-E39-F39</f>
        <v>0</v>
      </c>
      <c r="H39" s="35" t="n">
        <f>B39+G39</f>
        <v>17445</v>
      </c>
      <c r="I39" s="19" t="n">
        <f>'Start Here'!$C$15</f>
        <v>12000</v>
      </c>
      <c r="J39" s="35" t="n">
        <f>H39-I39</f>
        <v>5445</v>
      </c>
      <c r="K39" s="36" t="str">
        <f>IF(H39&lt;0,"CRITICAL",IF(H39&lt;I39,"WARNING",IF(H39&lt;I39*1.2,"WATCH","OK")))</f>
        <v>OK</v>
      </c>
      <c r="L39" s="19" t="n">
        <f>SUMIFS(Payouts!$E$7:$E$106,Payouts!$H$7:$H$106,A39)</f>
        <v>0</v>
      </c>
      <c r="M39" s="35" t="n">
        <f>L39-C39</f>
        <v>0</v>
      </c>
      <c r="N39" s="37" t="n">
        <f>IF(H39&lt;I39,1,0)</f>
        <v>0</v>
      </c>
    </row>
    <row r="40">
      <c r="A40" s="20" t="n">
        <f>'Start Here'!$C$13+33</f>
        <v>46345</v>
      </c>
      <c r="B40" s="19" t="n">
        <f>H39</f>
        <v>17445</v>
      </c>
      <c r="C40" s="19" t="n">
        <f>SUMIFS(Payouts!$L$7:$L$106,Payouts!$H$7:$H$106,A40)</f>
        <v>0</v>
      </c>
      <c r="D40" s="19" t="n">
        <f>SUMIFS('Other Cash'!$H$7:$H$106,'Other Cash'!$D$7:$D$106,A40,'Other Cash'!$C$7:$C$106,"Inflow")</f>
        <v>0</v>
      </c>
      <c r="E40" s="19" t="n">
        <f>SUMIFS(Bills!$E$7:$E$106,Bills!$J$7:$J$106,A40)</f>
        <v>0</v>
      </c>
      <c r="F40" s="19" t="n">
        <f>SUMIFS('Other Cash'!$H$7:$H$106,'Other Cash'!$D$7:$D$106,A40,'Other Cash'!$C$7:$C$106,"Outflow")</f>
        <v>0</v>
      </c>
      <c r="G40" s="35" t="n">
        <f>C40+D40-E40-F40</f>
        <v>0</v>
      </c>
      <c r="H40" s="35" t="n">
        <f>B40+G40</f>
        <v>17445</v>
      </c>
      <c r="I40" s="19" t="n">
        <f>'Start Here'!$C$15</f>
        <v>12000</v>
      </c>
      <c r="J40" s="35" t="n">
        <f>H40-I40</f>
        <v>5445</v>
      </c>
      <c r="K40" s="36" t="str">
        <f>IF(H40&lt;0,"CRITICAL",IF(H40&lt;I40,"WARNING",IF(H40&lt;I40*1.2,"WATCH","OK")))</f>
        <v>OK</v>
      </c>
      <c r="L40" s="19" t="n">
        <f>SUMIFS(Payouts!$E$7:$E$106,Payouts!$H$7:$H$106,A40)</f>
        <v>0</v>
      </c>
      <c r="M40" s="35" t="n">
        <f>L40-C40</f>
        <v>0</v>
      </c>
      <c r="N40" s="37" t="n">
        <f>IF(H40&lt;I40,1,0)</f>
        <v>0</v>
      </c>
    </row>
    <row r="41">
      <c r="A41" s="20" t="n">
        <f>'Start Here'!$C$13+34</f>
        <v>46346</v>
      </c>
      <c r="B41" s="19" t="n">
        <f>H40</f>
        <v>17445</v>
      </c>
      <c r="C41" s="19" t="n">
        <f>SUMIFS(Payouts!$L$7:$L$106,Payouts!$H$7:$H$106,A41)</f>
        <v>0</v>
      </c>
      <c r="D41" s="19" t="n">
        <f>SUMIFS('Other Cash'!$H$7:$H$106,'Other Cash'!$D$7:$D$106,A41,'Other Cash'!$C$7:$C$106,"Inflow")</f>
        <v>0</v>
      </c>
      <c r="E41" s="19" t="n">
        <f>SUMIFS(Bills!$E$7:$E$106,Bills!$J$7:$J$106,A41)</f>
        <v>0</v>
      </c>
      <c r="F41" s="19" t="n">
        <f>SUMIFS('Other Cash'!$H$7:$H$106,'Other Cash'!$D$7:$D$106,A41,'Other Cash'!$C$7:$C$106,"Outflow")</f>
        <v>0</v>
      </c>
      <c r="G41" s="35" t="n">
        <f>C41+D41-E41-F41</f>
        <v>0</v>
      </c>
      <c r="H41" s="35" t="n">
        <f>B41+G41</f>
        <v>17445</v>
      </c>
      <c r="I41" s="19" t="n">
        <f>'Start Here'!$C$15</f>
        <v>12000</v>
      </c>
      <c r="J41" s="35" t="n">
        <f>H41-I41</f>
        <v>5445</v>
      </c>
      <c r="K41" s="36" t="str">
        <f>IF(H41&lt;0,"CRITICAL",IF(H41&lt;I41,"WARNING",IF(H41&lt;I41*1.2,"WATCH","OK")))</f>
        <v>OK</v>
      </c>
      <c r="L41" s="19" t="n">
        <f>SUMIFS(Payouts!$E$7:$E$106,Payouts!$H$7:$H$106,A41)</f>
        <v>0</v>
      </c>
      <c r="M41" s="35" t="n">
        <f>L41-C41</f>
        <v>0</v>
      </c>
      <c r="N41" s="37" t="n">
        <f>IF(H41&lt;I41,1,0)</f>
        <v>0</v>
      </c>
    </row>
    <row r="42">
      <c r="A42" s="20" t="n">
        <f>'Start Here'!$C$13+35</f>
        <v>46347</v>
      </c>
      <c r="B42" s="19" t="n">
        <f>H41</f>
        <v>17445</v>
      </c>
      <c r="C42" s="19" t="n">
        <f>SUMIFS(Payouts!$L$7:$L$106,Payouts!$H$7:$H$106,A42)</f>
        <v>0</v>
      </c>
      <c r="D42" s="19" t="n">
        <f>SUMIFS('Other Cash'!$H$7:$H$106,'Other Cash'!$D$7:$D$106,A42,'Other Cash'!$C$7:$C$106,"Inflow")</f>
        <v>0</v>
      </c>
      <c r="E42" s="19" t="n">
        <f>SUMIFS(Bills!$E$7:$E$106,Bills!$J$7:$J$106,A42)</f>
        <v>0</v>
      </c>
      <c r="F42" s="19" t="n">
        <f>SUMIFS('Other Cash'!$H$7:$H$106,'Other Cash'!$D$7:$D$106,A42,'Other Cash'!$C$7:$C$106,"Outflow")</f>
        <v>0</v>
      </c>
      <c r="G42" s="35" t="n">
        <f>C42+D42-E42-F42</f>
        <v>0</v>
      </c>
      <c r="H42" s="35" t="n">
        <f>B42+G42</f>
        <v>17445</v>
      </c>
      <c r="I42" s="19" t="n">
        <f>'Start Here'!$C$15</f>
        <v>12000</v>
      </c>
      <c r="J42" s="35" t="n">
        <f>H42-I42</f>
        <v>5445</v>
      </c>
      <c r="K42" s="36" t="str">
        <f>IF(H42&lt;0,"CRITICAL",IF(H42&lt;I42,"WARNING",IF(H42&lt;I42*1.2,"WATCH","OK")))</f>
        <v>OK</v>
      </c>
      <c r="L42" s="19" t="n">
        <f>SUMIFS(Payouts!$E$7:$E$106,Payouts!$H$7:$H$106,A42)</f>
        <v>0</v>
      </c>
      <c r="M42" s="35" t="n">
        <f>L42-C42</f>
        <v>0</v>
      </c>
      <c r="N42" s="37" t="n">
        <f>IF(H42&lt;I42,1,0)</f>
        <v>0</v>
      </c>
    </row>
    <row r="43">
      <c r="A43" s="20" t="n">
        <f>'Start Here'!$C$13+36</f>
        <v>46348</v>
      </c>
      <c r="B43" s="19" t="n">
        <f>H42</f>
        <v>17445</v>
      </c>
      <c r="C43" s="19" t="n">
        <f>SUMIFS(Payouts!$L$7:$L$106,Payouts!$H$7:$H$106,A43)</f>
        <v>0</v>
      </c>
      <c r="D43" s="19" t="n">
        <f>SUMIFS('Other Cash'!$H$7:$H$106,'Other Cash'!$D$7:$D$106,A43,'Other Cash'!$C$7:$C$106,"Inflow")</f>
        <v>0</v>
      </c>
      <c r="E43" s="19" t="n">
        <f>SUMIFS(Bills!$E$7:$E$106,Bills!$J$7:$J$106,A43)</f>
        <v>0</v>
      </c>
      <c r="F43" s="19" t="n">
        <f>SUMIFS('Other Cash'!$H$7:$H$106,'Other Cash'!$D$7:$D$106,A43,'Other Cash'!$C$7:$C$106,"Outflow")</f>
        <v>0</v>
      </c>
      <c r="G43" s="35" t="n">
        <f>C43+D43-E43-F43</f>
        <v>0</v>
      </c>
      <c r="H43" s="35" t="n">
        <f>B43+G43</f>
        <v>17445</v>
      </c>
      <c r="I43" s="19" t="n">
        <f>'Start Here'!$C$15</f>
        <v>12000</v>
      </c>
      <c r="J43" s="35" t="n">
        <f>H43-I43</f>
        <v>5445</v>
      </c>
      <c r="K43" s="36" t="str">
        <f>IF(H43&lt;0,"CRITICAL",IF(H43&lt;I43,"WARNING",IF(H43&lt;I43*1.2,"WATCH","OK")))</f>
        <v>OK</v>
      </c>
      <c r="L43" s="19" t="n">
        <f>SUMIFS(Payouts!$E$7:$E$106,Payouts!$H$7:$H$106,A43)</f>
        <v>0</v>
      </c>
      <c r="M43" s="35" t="n">
        <f>L43-C43</f>
        <v>0</v>
      </c>
      <c r="N43" s="37" t="n">
        <f>IF(H43&lt;I43,1,0)</f>
        <v>0</v>
      </c>
    </row>
    <row r="44">
      <c r="A44" s="20" t="n">
        <f>'Start Here'!$C$13+37</f>
        <v>46349</v>
      </c>
      <c r="B44" s="19" t="n">
        <f>H43</f>
        <v>17445</v>
      </c>
      <c r="C44" s="19" t="n">
        <f>SUMIFS(Payouts!$L$7:$L$106,Payouts!$H$7:$H$106,A44)</f>
        <v>0</v>
      </c>
      <c r="D44" s="19" t="n">
        <f>SUMIFS('Other Cash'!$H$7:$H$106,'Other Cash'!$D$7:$D$106,A44,'Other Cash'!$C$7:$C$106,"Inflow")</f>
        <v>0</v>
      </c>
      <c r="E44" s="19" t="n">
        <f>SUMIFS(Bills!$E$7:$E$106,Bills!$J$7:$J$106,A44)</f>
        <v>0</v>
      </c>
      <c r="F44" s="19" t="n">
        <f>SUMIFS('Other Cash'!$H$7:$H$106,'Other Cash'!$D$7:$D$106,A44,'Other Cash'!$C$7:$C$106,"Outflow")</f>
        <v>0</v>
      </c>
      <c r="G44" s="35" t="n">
        <f>C44+D44-E44-F44</f>
        <v>0</v>
      </c>
      <c r="H44" s="35" t="n">
        <f>B44+G44</f>
        <v>17445</v>
      </c>
      <c r="I44" s="19" t="n">
        <f>'Start Here'!$C$15</f>
        <v>12000</v>
      </c>
      <c r="J44" s="35" t="n">
        <f>H44-I44</f>
        <v>5445</v>
      </c>
      <c r="K44" s="36" t="str">
        <f>IF(H44&lt;0,"CRITICAL",IF(H44&lt;I44,"WARNING",IF(H44&lt;I44*1.2,"WATCH","OK")))</f>
        <v>OK</v>
      </c>
      <c r="L44" s="19" t="n">
        <f>SUMIFS(Payouts!$E$7:$E$106,Payouts!$H$7:$H$106,A44)</f>
        <v>0</v>
      </c>
      <c r="M44" s="35" t="n">
        <f>L44-C44</f>
        <v>0</v>
      </c>
      <c r="N44" s="37" t="n">
        <f>IF(H44&lt;I44,1,0)</f>
        <v>0</v>
      </c>
    </row>
    <row r="45">
      <c r="A45" s="20" t="n">
        <f>'Start Here'!$C$13+38</f>
        <v>46350</v>
      </c>
      <c r="B45" s="19" t="n">
        <f>H44</f>
        <v>17445</v>
      </c>
      <c r="C45" s="19" t="n">
        <f>SUMIFS(Payouts!$L$7:$L$106,Payouts!$H$7:$H$106,A45)</f>
        <v>0</v>
      </c>
      <c r="D45" s="19" t="n">
        <f>SUMIFS('Other Cash'!$H$7:$H$106,'Other Cash'!$D$7:$D$106,A45,'Other Cash'!$C$7:$C$106,"Inflow")</f>
        <v>0</v>
      </c>
      <c r="E45" s="19" t="n">
        <f>SUMIFS(Bills!$E$7:$E$106,Bills!$J$7:$J$106,A45)</f>
        <v>0</v>
      </c>
      <c r="F45" s="19" t="n">
        <f>SUMIFS('Other Cash'!$H$7:$H$106,'Other Cash'!$D$7:$D$106,A45,'Other Cash'!$C$7:$C$106,"Outflow")</f>
        <v>0</v>
      </c>
      <c r="G45" s="35" t="n">
        <f>C45+D45-E45-F45</f>
        <v>0</v>
      </c>
      <c r="H45" s="35" t="n">
        <f>B45+G45</f>
        <v>17445</v>
      </c>
      <c r="I45" s="19" t="n">
        <f>'Start Here'!$C$15</f>
        <v>12000</v>
      </c>
      <c r="J45" s="35" t="n">
        <f>H45-I45</f>
        <v>5445</v>
      </c>
      <c r="K45" s="36" t="str">
        <f>IF(H45&lt;0,"CRITICAL",IF(H45&lt;I45,"WARNING",IF(H45&lt;I45*1.2,"WATCH","OK")))</f>
        <v>OK</v>
      </c>
      <c r="L45" s="19" t="n">
        <f>SUMIFS(Payouts!$E$7:$E$106,Payouts!$H$7:$H$106,A45)</f>
        <v>0</v>
      </c>
      <c r="M45" s="35" t="n">
        <f>L45-C45</f>
        <v>0</v>
      </c>
      <c r="N45" s="37" t="n">
        <f>IF(H45&lt;I45,1,0)</f>
        <v>0</v>
      </c>
    </row>
    <row r="46">
      <c r="A46" s="20" t="n">
        <f>'Start Here'!$C$13+39</f>
        <v>46351</v>
      </c>
      <c r="B46" s="19" t="n">
        <f>H45</f>
        <v>17445</v>
      </c>
      <c r="C46" s="19" t="n">
        <f>SUMIFS(Payouts!$L$7:$L$106,Payouts!$H$7:$H$106,A46)</f>
        <v>0</v>
      </c>
      <c r="D46" s="19" t="n">
        <f>SUMIFS('Other Cash'!$H$7:$H$106,'Other Cash'!$D$7:$D$106,A46,'Other Cash'!$C$7:$C$106,"Inflow")</f>
        <v>0</v>
      </c>
      <c r="E46" s="19" t="n">
        <f>SUMIFS(Bills!$E$7:$E$106,Bills!$J$7:$J$106,A46)</f>
        <v>0</v>
      </c>
      <c r="F46" s="19" t="n">
        <f>SUMIFS('Other Cash'!$H$7:$H$106,'Other Cash'!$D$7:$D$106,A46,'Other Cash'!$C$7:$C$106,"Outflow")</f>
        <v>0</v>
      </c>
      <c r="G46" s="35" t="n">
        <f>C46+D46-E46-F46</f>
        <v>0</v>
      </c>
      <c r="H46" s="35" t="n">
        <f>B46+G46</f>
        <v>17445</v>
      </c>
      <c r="I46" s="19" t="n">
        <f>'Start Here'!$C$15</f>
        <v>12000</v>
      </c>
      <c r="J46" s="35" t="n">
        <f>H46-I46</f>
        <v>5445</v>
      </c>
      <c r="K46" s="36" t="str">
        <f>IF(H46&lt;0,"CRITICAL",IF(H46&lt;I46,"WARNING",IF(H46&lt;I46*1.2,"WATCH","OK")))</f>
        <v>OK</v>
      </c>
      <c r="L46" s="19" t="n">
        <f>SUMIFS(Payouts!$E$7:$E$106,Payouts!$H$7:$H$106,A46)</f>
        <v>0</v>
      </c>
      <c r="M46" s="35" t="n">
        <f>L46-C46</f>
        <v>0</v>
      </c>
      <c r="N46" s="37" t="n">
        <f>IF(H46&lt;I46,1,0)</f>
        <v>0</v>
      </c>
    </row>
    <row r="47">
      <c r="A47" s="20" t="n">
        <f>'Start Here'!$C$13+40</f>
        <v>46352</v>
      </c>
      <c r="B47" s="19" t="n">
        <f>H46</f>
        <v>17445</v>
      </c>
      <c r="C47" s="19" t="n">
        <f>SUMIFS(Payouts!$L$7:$L$106,Payouts!$H$7:$H$106,A47)</f>
        <v>0</v>
      </c>
      <c r="D47" s="19" t="n">
        <f>SUMIFS('Other Cash'!$H$7:$H$106,'Other Cash'!$D$7:$D$106,A47,'Other Cash'!$C$7:$C$106,"Inflow")</f>
        <v>0</v>
      </c>
      <c r="E47" s="19" t="n">
        <f>SUMIFS(Bills!$E$7:$E$106,Bills!$J$7:$J$106,A47)</f>
        <v>0</v>
      </c>
      <c r="F47" s="19" t="n">
        <f>SUMIFS('Other Cash'!$H$7:$H$106,'Other Cash'!$D$7:$D$106,A47,'Other Cash'!$C$7:$C$106,"Outflow")</f>
        <v>0</v>
      </c>
      <c r="G47" s="35" t="n">
        <f>C47+D47-E47-F47</f>
        <v>0</v>
      </c>
      <c r="H47" s="35" t="n">
        <f>B47+G47</f>
        <v>17445</v>
      </c>
      <c r="I47" s="19" t="n">
        <f>'Start Here'!$C$15</f>
        <v>12000</v>
      </c>
      <c r="J47" s="35" t="n">
        <f>H47-I47</f>
        <v>5445</v>
      </c>
      <c r="K47" s="36" t="str">
        <f>IF(H47&lt;0,"CRITICAL",IF(H47&lt;I47,"WARNING",IF(H47&lt;I47*1.2,"WATCH","OK")))</f>
        <v>OK</v>
      </c>
      <c r="L47" s="19" t="n">
        <f>SUMIFS(Payouts!$E$7:$E$106,Payouts!$H$7:$H$106,A47)</f>
        <v>0</v>
      </c>
      <c r="M47" s="35" t="n">
        <f>L47-C47</f>
        <v>0</v>
      </c>
      <c r="N47" s="37" t="n">
        <f>IF(H47&lt;I47,1,0)</f>
        <v>0</v>
      </c>
    </row>
    <row r="48">
      <c r="A48" s="20" t="n">
        <f>'Start Here'!$C$13+41</f>
        <v>46353</v>
      </c>
      <c r="B48" s="19" t="n">
        <f>H47</f>
        <v>17445</v>
      </c>
      <c r="C48" s="19" t="n">
        <f>SUMIFS(Payouts!$L$7:$L$106,Payouts!$H$7:$H$106,A48)</f>
        <v>0</v>
      </c>
      <c r="D48" s="19" t="n">
        <f>SUMIFS('Other Cash'!$H$7:$H$106,'Other Cash'!$D$7:$D$106,A48,'Other Cash'!$C$7:$C$106,"Inflow")</f>
        <v>0</v>
      </c>
      <c r="E48" s="19" t="n">
        <f>SUMIFS(Bills!$E$7:$E$106,Bills!$J$7:$J$106,A48)</f>
        <v>0</v>
      </c>
      <c r="F48" s="19" t="n">
        <f>SUMIFS('Other Cash'!$H$7:$H$106,'Other Cash'!$D$7:$D$106,A48,'Other Cash'!$C$7:$C$106,"Outflow")</f>
        <v>0</v>
      </c>
      <c r="G48" s="35" t="n">
        <f>C48+D48-E48-F48</f>
        <v>0</v>
      </c>
      <c r="H48" s="35" t="n">
        <f>B48+G48</f>
        <v>17445</v>
      </c>
      <c r="I48" s="19" t="n">
        <f>'Start Here'!$C$15</f>
        <v>12000</v>
      </c>
      <c r="J48" s="35" t="n">
        <f>H48-I48</f>
        <v>5445</v>
      </c>
      <c r="K48" s="36" t="str">
        <f>IF(H48&lt;0,"CRITICAL",IF(H48&lt;I48,"WARNING",IF(H48&lt;I48*1.2,"WATCH","OK")))</f>
        <v>OK</v>
      </c>
      <c r="L48" s="19" t="n">
        <f>SUMIFS(Payouts!$E$7:$E$106,Payouts!$H$7:$H$106,A48)</f>
        <v>0</v>
      </c>
      <c r="M48" s="35" t="n">
        <f>L48-C48</f>
        <v>0</v>
      </c>
      <c r="N48" s="37" t="n">
        <f>IF(H48&lt;I48,1,0)</f>
        <v>0</v>
      </c>
    </row>
    <row r="49">
      <c r="A49" s="20" t="n">
        <f>'Start Here'!$C$13+42</f>
        <v>46354</v>
      </c>
      <c r="B49" s="19" t="n">
        <f>H48</f>
        <v>17445</v>
      </c>
      <c r="C49" s="19" t="n">
        <f>SUMIFS(Payouts!$L$7:$L$106,Payouts!$H$7:$H$106,A49)</f>
        <v>0</v>
      </c>
      <c r="D49" s="19" t="n">
        <f>SUMIFS('Other Cash'!$H$7:$H$106,'Other Cash'!$D$7:$D$106,A49,'Other Cash'!$C$7:$C$106,"Inflow")</f>
        <v>0</v>
      </c>
      <c r="E49" s="19" t="n">
        <f>SUMIFS(Bills!$E$7:$E$106,Bills!$J$7:$J$106,A49)</f>
        <v>0</v>
      </c>
      <c r="F49" s="19" t="n">
        <f>SUMIFS('Other Cash'!$H$7:$H$106,'Other Cash'!$D$7:$D$106,A49,'Other Cash'!$C$7:$C$106,"Outflow")</f>
        <v>0</v>
      </c>
      <c r="G49" s="35" t="n">
        <f>C49+D49-E49-F49</f>
        <v>0</v>
      </c>
      <c r="H49" s="35" t="n">
        <f>B49+G49</f>
        <v>17445</v>
      </c>
      <c r="I49" s="19" t="n">
        <f>'Start Here'!$C$15</f>
        <v>12000</v>
      </c>
      <c r="J49" s="35" t="n">
        <f>H49-I49</f>
        <v>5445</v>
      </c>
      <c r="K49" s="36" t="str">
        <f>IF(H49&lt;0,"CRITICAL",IF(H49&lt;I49,"WARNING",IF(H49&lt;I49*1.2,"WATCH","OK")))</f>
        <v>OK</v>
      </c>
      <c r="L49" s="19" t="n">
        <f>SUMIFS(Payouts!$E$7:$E$106,Payouts!$H$7:$H$106,A49)</f>
        <v>0</v>
      </c>
      <c r="M49" s="35" t="n">
        <f>L49-C49</f>
        <v>0</v>
      </c>
      <c r="N49" s="37" t="n">
        <f>IF(H49&lt;I49,1,0)</f>
        <v>0</v>
      </c>
    </row>
    <row r="50">
      <c r="A50" s="20" t="n">
        <f>'Start Here'!$C$13+43</f>
        <v>46355</v>
      </c>
      <c r="B50" s="19" t="n">
        <f>H49</f>
        <v>17445</v>
      </c>
      <c r="C50" s="19" t="n">
        <f>SUMIFS(Payouts!$L$7:$L$106,Payouts!$H$7:$H$106,A50)</f>
        <v>0</v>
      </c>
      <c r="D50" s="19" t="n">
        <f>SUMIFS('Other Cash'!$H$7:$H$106,'Other Cash'!$D$7:$D$106,A50,'Other Cash'!$C$7:$C$106,"Inflow")</f>
        <v>0</v>
      </c>
      <c r="E50" s="19" t="n">
        <f>SUMIFS(Bills!$E$7:$E$106,Bills!$J$7:$J$106,A50)</f>
        <v>0</v>
      </c>
      <c r="F50" s="19" t="n">
        <f>SUMIFS('Other Cash'!$H$7:$H$106,'Other Cash'!$D$7:$D$106,A50,'Other Cash'!$C$7:$C$106,"Outflow")</f>
        <v>0</v>
      </c>
      <c r="G50" s="35" t="n">
        <f>C50+D50-E50-F50</f>
        <v>0</v>
      </c>
      <c r="H50" s="35" t="n">
        <f>B50+G50</f>
        <v>17445</v>
      </c>
      <c r="I50" s="19" t="n">
        <f>'Start Here'!$C$15</f>
        <v>12000</v>
      </c>
      <c r="J50" s="35" t="n">
        <f>H50-I50</f>
        <v>5445</v>
      </c>
      <c r="K50" s="36" t="str">
        <f>IF(H50&lt;0,"CRITICAL",IF(H50&lt;I50,"WARNING",IF(H50&lt;I50*1.2,"WATCH","OK")))</f>
        <v>OK</v>
      </c>
      <c r="L50" s="19" t="n">
        <f>SUMIFS(Payouts!$E$7:$E$106,Payouts!$H$7:$H$106,A50)</f>
        <v>0</v>
      </c>
      <c r="M50" s="35" t="n">
        <f>L50-C50</f>
        <v>0</v>
      </c>
      <c r="N50" s="37" t="n">
        <f>IF(H50&lt;I50,1,0)</f>
        <v>0</v>
      </c>
    </row>
    <row r="51">
      <c r="A51" s="20" t="n">
        <f>'Start Here'!$C$13+44</f>
        <v>46356</v>
      </c>
      <c r="B51" s="19" t="n">
        <f>H50</f>
        <v>17445</v>
      </c>
      <c r="C51" s="19" t="n">
        <f>SUMIFS(Payouts!$L$7:$L$106,Payouts!$H$7:$H$106,A51)</f>
        <v>0</v>
      </c>
      <c r="D51" s="19" t="n">
        <f>SUMIFS('Other Cash'!$H$7:$H$106,'Other Cash'!$D$7:$D$106,A51,'Other Cash'!$C$7:$C$106,"Inflow")</f>
        <v>0</v>
      </c>
      <c r="E51" s="19" t="n">
        <f>SUMIFS(Bills!$E$7:$E$106,Bills!$J$7:$J$106,A51)</f>
        <v>0</v>
      </c>
      <c r="F51" s="19" t="n">
        <f>SUMIFS('Other Cash'!$H$7:$H$106,'Other Cash'!$D$7:$D$106,A51,'Other Cash'!$C$7:$C$106,"Outflow")</f>
        <v>0</v>
      </c>
      <c r="G51" s="35" t="n">
        <f>C51+D51-E51-F51</f>
        <v>0</v>
      </c>
      <c r="H51" s="35" t="n">
        <f>B51+G51</f>
        <v>17445</v>
      </c>
      <c r="I51" s="19" t="n">
        <f>'Start Here'!$C$15</f>
        <v>12000</v>
      </c>
      <c r="J51" s="35" t="n">
        <f>H51-I51</f>
        <v>5445</v>
      </c>
      <c r="K51" s="36" t="str">
        <f>IF(H51&lt;0,"CRITICAL",IF(H51&lt;I51,"WARNING",IF(H51&lt;I51*1.2,"WATCH","OK")))</f>
        <v>OK</v>
      </c>
      <c r="L51" s="19" t="n">
        <f>SUMIFS(Payouts!$E$7:$E$106,Payouts!$H$7:$H$106,A51)</f>
        <v>0</v>
      </c>
      <c r="M51" s="35" t="n">
        <f>L51-C51</f>
        <v>0</v>
      </c>
      <c r="N51" s="37" t="n">
        <f>IF(H51&lt;I51,1,0)</f>
        <v>0</v>
      </c>
    </row>
  </sheetData>
  <autoFilter ref="A6:N51"/>
  <mergeCells count="2">
    <mergeCell ref="A2:N2"/>
    <mergeCell ref="A1:N1"/>
  </mergeCells>
  <conditionalFormatting sqref="K7:K51">
    <cfRule type="expression" priority="1" dxfId="0">
      <formula>$K7="CRITICAL"</formula>
    </cfRule>
    <cfRule type="expression" priority="2" dxfId="1">
      <formula>$K7="WARNING"</formula>
    </cfRule>
    <cfRule type="expression" priority="3" dxfId="2">
      <formula>$K7="WATCH"</formula>
    </cfRule>
    <cfRule type="expression" priority="4" dxfId="3">
      <formula>$K7="OK"</formula>
    </cfRule>
  </conditionalFormatting>
  <printOptions horizontalCentered="1"/>
  <pageMargins left="0.25" right="0.25" top="0.4" bottom="0.4" header="0.5" footer="0.5"/>
  <pageSetup orientation="landscape" fitToHeight="0" fitToWidth="1"/>
  <headerFooter>
    <oddHeader/>
    <oddFooter>&amp;CPayout Delay Cash-Flow Early Warning Sheet&amp;RPage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Payout Delay Cash-Flow Early Warning Sheet</dc:creator>
  <dc:title xmlns:dc="http://purl.org/dc/elements/1.1/">Payout Delay Cash-Flow Early Warning Sheet</dc:title>
  <dc:subject xmlns:dc="http://purl.org/dc/elements/1.1/">45-day cash-flow warning model for expected Shopify payouts and upcoming obligations</dc:subject>
  <dcterms:created xmlns:dcterms="http://purl.org/dc/terms/" xmlns:xsi="http://www.w3.org/2001/XMLSchema-instance" xsi:type="dcterms:W3CDTF">2026-10-16T17:51:31+00:00Z</dcterms:created>
  <dcterms:modified xmlns:dcterms="http://purl.org/dc/terms/" xmlns:xsi="http://www.w3.org/2001/XMLSchema-instance" xsi:type="dcterms:W3CDTF">2026-10-16T17:51:31+00:00Z</dcterms:modified>
</cp:coreProperties>
</file>